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608001\Desktop\"/>
    </mc:Choice>
  </mc:AlternateContent>
  <workbookProtection workbookAlgorithmName="SHA-512" workbookHashValue="c5T6yQeW4l6AfPeMlc35ktcn46ZVBGUc6GXJMWN1HbwrNNEnYJyqRq1IQmyghX4ig/bHLqrpy50/H/A2B6cXZw==" workbookSaltValue="uDeELjqbxrjVVK3oyc+fiQ==" workbookSpinCount="100000" lockStructure="1"/>
  <bookViews>
    <workbookView xWindow="0" yWindow="0" windowWidth="20490" windowHeight="7530"/>
  </bookViews>
  <sheets>
    <sheet name="水道料金比較" sheetId="7" r:id="rId1"/>
    <sheet name="入力画面" sheetId="6" state="hidden" r:id="rId2"/>
    <sheet name="上水基本ＴＢＬ改定後" sheetId="5" state="hidden" r:id="rId3"/>
    <sheet name="下水基本ＴＢＬ" sheetId="4" state="hidden" r:id="rId4"/>
    <sheet name="上水基本ＴＢＬ改定前" sheetId="3" state="hidden" r:id="rId5"/>
    <sheet name="下水料金" sheetId="2" state="hidden" r:id="rId6"/>
  </sheets>
  <definedNames>
    <definedName name="_xlnm.Print_Area" localSheetId="0">水道料金比較!$A$1:$O$30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 l="1"/>
  <c r="D14" i="7" l="1"/>
  <c r="F14" i="7"/>
  <c r="H17" i="7"/>
  <c r="D3" i="6"/>
  <c r="F6" i="6" s="1"/>
  <c r="C5" i="6"/>
  <c r="G2" i="3" s="1"/>
  <c r="C9" i="6"/>
  <c r="F11" i="6" s="1"/>
  <c r="F9" i="6"/>
  <c r="F10" i="6"/>
  <c r="F12" i="6"/>
  <c r="F13" i="6"/>
  <c r="F14" i="6"/>
  <c r="J34" i="6"/>
  <c r="C4" i="5"/>
  <c r="C5" i="5"/>
  <c r="C6" i="5"/>
  <c r="C7" i="5"/>
  <c r="C8" i="5"/>
  <c r="C9" i="5"/>
  <c r="C10" i="5"/>
  <c r="C4" i="4"/>
  <c r="C5" i="4"/>
  <c r="C6" i="4"/>
  <c r="C7" i="4"/>
  <c r="C8" i="4"/>
  <c r="C9" i="4"/>
  <c r="C4" i="3"/>
  <c r="C5" i="3"/>
  <c r="C6" i="3"/>
  <c r="C7" i="3"/>
  <c r="C8" i="3"/>
  <c r="C9" i="3"/>
  <c r="C10" i="3"/>
  <c r="B13" i="2"/>
  <c r="C13" i="2" s="1"/>
  <c r="F34" i="6" l="1"/>
  <c r="J27" i="6"/>
  <c r="K27" i="6" s="1"/>
  <c r="J25" i="6"/>
  <c r="K25" i="6" s="1"/>
  <c r="F20" i="6"/>
  <c r="J20" i="6"/>
  <c r="J23" i="6"/>
  <c r="K23" i="6" s="1"/>
  <c r="F22" i="6"/>
  <c r="B10" i="2"/>
  <c r="C10" i="2" s="1"/>
  <c r="J19" i="6"/>
  <c r="B3" i="2"/>
  <c r="G2" i="5"/>
  <c r="F27" i="6"/>
  <c r="G27" i="6" s="1"/>
  <c r="F25" i="6"/>
  <c r="G25" i="6" s="1"/>
  <c r="F23" i="6"/>
  <c r="G23" i="6" s="1"/>
  <c r="F19" i="6"/>
  <c r="F2" i="5"/>
  <c r="F2" i="3"/>
  <c r="K18" i="6" s="1"/>
  <c r="D10" i="7" s="1"/>
  <c r="J28" i="6"/>
  <c r="K28" i="6" s="1"/>
  <c r="J26" i="6"/>
  <c r="K26" i="6" s="1"/>
  <c r="J24" i="6"/>
  <c r="K24" i="6" s="1"/>
  <c r="J22" i="6"/>
  <c r="F8" i="6"/>
  <c r="B8" i="2"/>
  <c r="C8" i="2" s="1"/>
  <c r="F7" i="6"/>
  <c r="B9" i="2"/>
  <c r="C9" i="2" s="1"/>
  <c r="F28" i="6"/>
  <c r="G28" i="6" s="1"/>
  <c r="F26" i="6"/>
  <c r="G26" i="6" s="1"/>
  <c r="F24" i="6"/>
  <c r="G24" i="6" s="1"/>
  <c r="G18" i="6" l="1"/>
  <c r="F10" i="7" s="1"/>
  <c r="H10" i="7" s="1"/>
  <c r="C2" i="2"/>
  <c r="B6" i="2"/>
  <c r="B7" i="2"/>
  <c r="C7" i="2" s="1"/>
  <c r="B4" i="2"/>
  <c r="G22" i="6"/>
  <c r="F30" i="6"/>
  <c r="K22" i="6"/>
  <c r="J30" i="6"/>
  <c r="K30" i="6" l="1"/>
  <c r="D11" i="7" s="1"/>
  <c r="D12" i="7" s="1"/>
  <c r="D13" i="7" s="1"/>
  <c r="G30" i="6"/>
  <c r="F11" i="7" s="1"/>
  <c r="K31" i="6"/>
  <c r="C6" i="2"/>
  <c r="C12" i="2" s="1"/>
  <c r="C15" i="2" s="1"/>
  <c r="B12" i="2"/>
  <c r="G31" i="6"/>
  <c r="H11" i="7" l="1"/>
  <c r="F12" i="7"/>
  <c r="H12" i="7" s="1"/>
  <c r="H13" i="7" s="1"/>
  <c r="C16" i="2"/>
  <c r="D15" i="7"/>
  <c r="F15" i="7"/>
  <c r="F16" i="7" s="1"/>
  <c r="F13" i="7"/>
  <c r="G32" i="6"/>
  <c r="G34" i="6" s="1"/>
  <c r="C31" i="6" s="1"/>
  <c r="K32" i="6"/>
  <c r="K34" i="6" s="1"/>
  <c r="C17" i="2" l="1"/>
  <c r="C19" i="2" s="1"/>
  <c r="D16" i="7"/>
  <c r="C32" i="6" l="1"/>
  <c r="C33" i="6" s="1"/>
  <c r="D17" i="7"/>
  <c r="D18" i="7" s="1"/>
  <c r="F17" i="7"/>
  <c r="F18" i="7" s="1"/>
  <c r="H18" i="7" l="1"/>
</calcChain>
</file>

<file path=xl/sharedStrings.xml><?xml version="1.0" encoding="utf-8"?>
<sst xmlns="http://schemas.openxmlformats.org/spreadsheetml/2006/main" count="139" uniqueCount="69">
  <si>
    <t>合計(請求予定額)</t>
    <rPh sb="0" eb="2">
      <t>ゴウケイ</t>
    </rPh>
    <rPh sb="3" eb="5">
      <t>セイキュウ</t>
    </rPh>
    <rPh sb="5" eb="7">
      <t>ヨテイ</t>
    </rPh>
    <rPh sb="7" eb="8">
      <t>ガク</t>
    </rPh>
    <phoneticPr fontId="5"/>
  </si>
  <si>
    <t>端数切捨て合計</t>
    <rPh sb="0" eb="2">
      <t>ハスウ</t>
    </rPh>
    <rPh sb="2" eb="4">
      <t>キリス</t>
    </rPh>
    <rPh sb="5" eb="7">
      <t>ゴウケイ</t>
    </rPh>
    <phoneticPr fontId="5"/>
  </si>
  <si>
    <t>消費税額</t>
    <rPh sb="0" eb="3">
      <t>ショウヒゼイ</t>
    </rPh>
    <rPh sb="3" eb="4">
      <t>ガク</t>
    </rPh>
    <phoneticPr fontId="5"/>
  </si>
  <si>
    <t>課税対象額</t>
    <rPh sb="0" eb="2">
      <t>カゼイ</t>
    </rPh>
    <rPh sb="2" eb="4">
      <t>タイショウ</t>
    </rPh>
    <rPh sb="4" eb="5">
      <t>ガク</t>
    </rPh>
    <phoneticPr fontId="5"/>
  </si>
  <si>
    <t>特定排水の水量・料金</t>
    <phoneticPr fontId="5"/>
  </si>
  <si>
    <t>合計超過水量・料金</t>
    <phoneticPr fontId="5"/>
  </si>
  <si>
    <t>ランク６の水量・料金</t>
    <rPh sb="5" eb="7">
      <t>スイリョウ</t>
    </rPh>
    <rPh sb="8" eb="10">
      <t>リョウキン</t>
    </rPh>
    <phoneticPr fontId="5"/>
  </si>
  <si>
    <t>ランク５の水量・料金</t>
    <rPh sb="5" eb="7">
      <t>スイリョウ</t>
    </rPh>
    <rPh sb="8" eb="10">
      <t>リョウキン</t>
    </rPh>
    <phoneticPr fontId="5"/>
  </si>
  <si>
    <t>ランク４の水量・料金</t>
    <rPh sb="5" eb="7">
      <t>スイリョウ</t>
    </rPh>
    <rPh sb="8" eb="10">
      <t>リョウキン</t>
    </rPh>
    <phoneticPr fontId="5"/>
  </si>
  <si>
    <t>ランク３の水量・料金</t>
    <rPh sb="5" eb="7">
      <t>スイリョウ</t>
    </rPh>
    <rPh sb="8" eb="10">
      <t>リョウキン</t>
    </rPh>
    <phoneticPr fontId="5"/>
  </si>
  <si>
    <t>ランク２の水量・料金</t>
    <rPh sb="5" eb="7">
      <t>スイリョウ</t>
    </rPh>
    <rPh sb="8" eb="10">
      <t>リョウキン</t>
    </rPh>
    <phoneticPr fontId="5"/>
  </si>
  <si>
    <t>基本水量</t>
    <rPh sb="0" eb="2">
      <t>キホン</t>
    </rPh>
    <rPh sb="2" eb="4">
      <t>スイリョウ</t>
    </rPh>
    <phoneticPr fontId="5"/>
  </si>
  <si>
    <t>使用水量</t>
    <rPh sb="0" eb="2">
      <t>シヨウ</t>
    </rPh>
    <rPh sb="2" eb="4">
      <t>スイリョウ</t>
    </rPh>
    <phoneticPr fontId="5"/>
  </si>
  <si>
    <t>基本料金</t>
    <rPh sb="0" eb="2">
      <t>キホン</t>
    </rPh>
    <rPh sb="2" eb="4">
      <t>リョウキン</t>
    </rPh>
    <phoneticPr fontId="5"/>
  </si>
  <si>
    <t>（内訳）</t>
    <rPh sb="1" eb="3">
      <t>ウチワケ</t>
    </rPh>
    <phoneticPr fontId="5"/>
  </si>
  <si>
    <r>
      <t>１</t>
    </r>
    <r>
      <rPr>
        <sz val="11"/>
        <rFont val="Arial"/>
        <family val="2"/>
      </rPr>
      <t>㎥</t>
    </r>
    <r>
      <rPr>
        <sz val="11"/>
        <color theme="1"/>
        <rFont val="Yu Gothic"/>
        <family val="2"/>
        <charset val="128"/>
      </rPr>
      <t>単価</t>
    </r>
    <rPh sb="2" eb="4">
      <t>タンカ</t>
    </rPh>
    <phoneticPr fontId="5"/>
  </si>
  <si>
    <t>段階区分</t>
    <rPh sb="0" eb="2">
      <t>ダンカイ</t>
    </rPh>
    <rPh sb="2" eb="4">
      <t>クブン</t>
    </rPh>
    <phoneticPr fontId="5"/>
  </si>
  <si>
    <t>（１ヶ月分）</t>
    <rPh sb="3" eb="4">
      <t>ゲツ</t>
    </rPh>
    <rPh sb="4" eb="5">
      <t>ブン</t>
    </rPh>
    <phoneticPr fontId="5"/>
  </si>
  <si>
    <t>超過料金</t>
    <rPh sb="0" eb="2">
      <t>チョウカ</t>
    </rPh>
    <rPh sb="2" eb="4">
      <t>リョウキン</t>
    </rPh>
    <phoneticPr fontId="5"/>
  </si>
  <si>
    <t>口径</t>
    <rPh sb="0" eb="2">
      <t>コウケイ</t>
    </rPh>
    <phoneticPr fontId="5"/>
  </si>
  <si>
    <t>特定排水</t>
  </si>
  <si>
    <t>一般排水</t>
    <rPh sb="0" eb="2">
      <t>イッパン</t>
    </rPh>
    <rPh sb="2" eb="4">
      <t>ハイスイ</t>
    </rPh>
    <phoneticPr fontId="5"/>
  </si>
  <si>
    <t>合計</t>
    <rPh sb="0" eb="2">
      <t>ゴウケイ</t>
    </rPh>
    <phoneticPr fontId="5"/>
  </si>
  <si>
    <t>下水道</t>
    <rPh sb="0" eb="3">
      <t>ゲスイドウ</t>
    </rPh>
    <phoneticPr fontId="5"/>
  </si>
  <si>
    <t>上水道</t>
    <rPh sb="0" eb="3">
      <t>ジョウスイドウ</t>
    </rPh>
    <phoneticPr fontId="5"/>
  </si>
  <si>
    <t>超過水量･料金の合計</t>
    <rPh sb="0" eb="2">
      <t>チョウカ</t>
    </rPh>
    <rPh sb="2" eb="4">
      <t>スイリョウ</t>
    </rPh>
    <rPh sb="5" eb="7">
      <t>リョウキン</t>
    </rPh>
    <rPh sb="8" eb="10">
      <t>ゴウケイ</t>
    </rPh>
    <phoneticPr fontId="5"/>
  </si>
  <si>
    <t>ランク８の水量・料金</t>
    <rPh sb="5" eb="7">
      <t>スイリョウ</t>
    </rPh>
    <rPh sb="8" eb="10">
      <t>リョウキン</t>
    </rPh>
    <phoneticPr fontId="5"/>
  </si>
  <si>
    <t>ランク７の水量・料金</t>
    <rPh sb="5" eb="7">
      <t>スイリョウ</t>
    </rPh>
    <rPh sb="8" eb="10">
      <t>リョウキン</t>
    </rPh>
    <phoneticPr fontId="5"/>
  </si>
  <si>
    <t>改定前</t>
    <rPh sb="0" eb="2">
      <t>カイテイ</t>
    </rPh>
    <rPh sb="2" eb="3">
      <t>マエ</t>
    </rPh>
    <phoneticPr fontId="5"/>
  </si>
  <si>
    <t>改定後</t>
    <rPh sb="0" eb="2">
      <t>カイテイ</t>
    </rPh>
    <rPh sb="2" eb="3">
      <t>ゴ</t>
    </rPh>
    <phoneticPr fontId="5"/>
  </si>
  <si>
    <t>消費税率</t>
    <rPh sb="0" eb="3">
      <t>ショウヒゼイ</t>
    </rPh>
    <rPh sb="3" eb="4">
      <t>リツ</t>
    </rPh>
    <phoneticPr fontId="5"/>
  </si>
  <si>
    <t>消費税率(下)</t>
    <rPh sb="0" eb="3">
      <t>ショウヒゼイ</t>
    </rPh>
    <rPh sb="3" eb="4">
      <t>リツ</t>
    </rPh>
    <rPh sb="5" eb="6">
      <t>シタ</t>
    </rPh>
    <phoneticPr fontId="5"/>
  </si>
  <si>
    <t>消費税率(上)</t>
    <rPh sb="0" eb="3">
      <t>ショウヒゼイ</t>
    </rPh>
    <rPh sb="3" eb="4">
      <t>リツ</t>
    </rPh>
    <rPh sb="5" eb="6">
      <t>ウエ</t>
    </rPh>
    <phoneticPr fontId="5"/>
  </si>
  <si>
    <t>料金体系  一般=１     特排=２</t>
    <rPh sb="0" eb="2">
      <t>リョウキン</t>
    </rPh>
    <rPh sb="2" eb="4">
      <t>タイケイ</t>
    </rPh>
    <rPh sb="6" eb="7">
      <t>1</t>
    </rPh>
    <rPh sb="7" eb="8">
      <t>バン</t>
    </rPh>
    <rPh sb="15" eb="16">
      <t>トク</t>
    </rPh>
    <rPh sb="16" eb="17">
      <t>オシヒラ</t>
    </rPh>
    <phoneticPr fontId="5"/>
  </si>
  <si>
    <t>特定排水</t>
    <rPh sb="0" eb="2">
      <t>トクテイ</t>
    </rPh>
    <rPh sb="2" eb="4">
      <t>ハイスイ</t>
    </rPh>
    <phoneticPr fontId="5"/>
  </si>
  <si>
    <t>認定区分 （１～８）</t>
    <rPh sb="0" eb="2">
      <t>ニンテイ</t>
    </rPh>
    <rPh sb="2" eb="4">
      <t>クブン</t>
    </rPh>
    <phoneticPr fontId="5"/>
  </si>
  <si>
    <t>下水道デ｜タ</t>
    <rPh sb="0" eb="2">
      <t>ゲスイ</t>
    </rPh>
    <rPh sb="2" eb="3">
      <t>ドウ</t>
    </rPh>
    <phoneticPr fontId="5"/>
  </si>
  <si>
    <t>戸数</t>
    <rPh sb="0" eb="2">
      <t>コスウ</t>
    </rPh>
    <phoneticPr fontId="5"/>
  </si>
  <si>
    <t>共同住宅</t>
    <rPh sb="0" eb="2">
      <t>キョウドウ</t>
    </rPh>
    <rPh sb="2" eb="4">
      <t>ジュウタク</t>
    </rPh>
    <phoneticPr fontId="5"/>
  </si>
  <si>
    <t>検針期間(下)</t>
    <rPh sb="0" eb="2">
      <t>ケンシン</t>
    </rPh>
    <rPh sb="2" eb="4">
      <t>キカン</t>
    </rPh>
    <rPh sb="5" eb="6">
      <t>シタ</t>
    </rPh>
    <phoneticPr fontId="5"/>
  </si>
  <si>
    <t>検針期間(上)</t>
    <rPh sb="0" eb="2">
      <t>ケンシン</t>
    </rPh>
    <rPh sb="2" eb="4">
      <t>キカン</t>
    </rPh>
    <rPh sb="5" eb="6">
      <t>ジョウ</t>
    </rPh>
    <phoneticPr fontId="5"/>
  </si>
  <si>
    <t>共同住宅 (Y=1:N=2)</t>
    <rPh sb="0" eb="2">
      <t>キョウドウ</t>
    </rPh>
    <rPh sb="2" eb="4">
      <t>ジュウタク</t>
    </rPh>
    <phoneticPr fontId="5"/>
  </si>
  <si>
    <t>確認欄</t>
    <rPh sb="0" eb="2">
      <t>カクニン</t>
    </rPh>
    <rPh sb="2" eb="3">
      <t>ラン</t>
    </rPh>
    <phoneticPr fontId="5"/>
  </si>
  <si>
    <t>上水道デ｜タ</t>
    <rPh sb="0" eb="3">
      <t>ジョウスイドウ</t>
    </rPh>
    <phoneticPr fontId="5"/>
  </si>
  <si>
    <t>検針期間</t>
    <rPh sb="0" eb="2">
      <t>ケンシン</t>
    </rPh>
    <rPh sb="2" eb="4">
      <t>キカン</t>
    </rPh>
    <phoneticPr fontId="5"/>
  </si>
  <si>
    <t>今回検針日</t>
    <rPh sb="0" eb="2">
      <t>コンカイ</t>
    </rPh>
    <rPh sb="2" eb="5">
      <t>ケンシンビ</t>
    </rPh>
    <phoneticPr fontId="5"/>
  </si>
  <si>
    <t>前回検針日</t>
    <rPh sb="0" eb="2">
      <t>ゼンカイ</t>
    </rPh>
    <rPh sb="2" eb="5">
      <t>ケンシンビ</t>
    </rPh>
    <phoneticPr fontId="5"/>
  </si>
  <si>
    <t>日数計算</t>
    <rPh sb="0" eb="2">
      <t>ニッスウ</t>
    </rPh>
    <rPh sb="2" eb="4">
      <t>ケイサン</t>
    </rPh>
    <phoneticPr fontId="5"/>
  </si>
  <si>
    <t>※　下水道使用料は10円未満切り捨て</t>
    <rPh sb="2" eb="5">
      <t>ゲスイドウ</t>
    </rPh>
    <rPh sb="5" eb="8">
      <t>シヨウリョウ</t>
    </rPh>
    <rPh sb="11" eb="12">
      <t>エン</t>
    </rPh>
    <rPh sb="12" eb="14">
      <t>ミマン</t>
    </rPh>
    <rPh sb="14" eb="15">
      <t>キ</t>
    </rPh>
    <rPh sb="16" eb="17">
      <t>ス</t>
    </rPh>
    <phoneticPr fontId="5"/>
  </si>
  <si>
    <t>円</t>
    <rPh sb="0" eb="1">
      <t>エン</t>
    </rPh>
    <phoneticPr fontId="9"/>
  </si>
  <si>
    <t>合　　　計</t>
    <rPh sb="0" eb="1">
      <t>ゴウ</t>
    </rPh>
    <rPh sb="4" eb="5">
      <t>ケイ</t>
    </rPh>
    <phoneticPr fontId="5"/>
  </si>
  <si>
    <t>下水道使用料合計（※）</t>
    <rPh sb="0" eb="3">
      <t>ゲスイドウ</t>
    </rPh>
    <rPh sb="3" eb="6">
      <t>シヨウリョウ</t>
    </rPh>
    <rPh sb="6" eb="8">
      <t>ゴウケイ</t>
    </rPh>
    <phoneticPr fontId="5"/>
  </si>
  <si>
    <t>円</t>
    <rPh sb="0" eb="1">
      <t>エン</t>
    </rPh>
    <phoneticPr fontId="3"/>
  </si>
  <si>
    <t>従量料金</t>
    <rPh sb="0" eb="4">
      <t>ジュウリョウリョウキン</t>
    </rPh>
    <phoneticPr fontId="9"/>
  </si>
  <si>
    <t>改定無し</t>
    <rPh sb="0" eb="2">
      <t>カイテイ</t>
    </rPh>
    <rPh sb="2" eb="3">
      <t>ナ</t>
    </rPh>
    <phoneticPr fontId="5"/>
  </si>
  <si>
    <t>基本料金</t>
    <rPh sb="0" eb="4">
      <t>キホンリョウキン</t>
    </rPh>
    <phoneticPr fontId="9"/>
  </si>
  <si>
    <t>下水道使用料</t>
    <rPh sb="0" eb="3">
      <t>ゲスイドウ</t>
    </rPh>
    <rPh sb="3" eb="6">
      <t>シヨウリョウ</t>
    </rPh>
    <phoneticPr fontId="5"/>
  </si>
  <si>
    <t>水道料金合計</t>
    <rPh sb="0" eb="2">
      <t>スイドウ</t>
    </rPh>
    <rPh sb="2" eb="4">
      <t>リョウキン</t>
    </rPh>
    <rPh sb="4" eb="6">
      <t>ゴウケイ</t>
    </rPh>
    <phoneticPr fontId="9"/>
  </si>
  <si>
    <t>水道料金</t>
    <rPh sb="0" eb="2">
      <t>スイドウ</t>
    </rPh>
    <rPh sb="2" eb="4">
      <t>リョウキン</t>
    </rPh>
    <phoneticPr fontId="5"/>
  </si>
  <si>
    <t>差額</t>
    <rPh sb="0" eb="2">
      <t>サガク</t>
    </rPh>
    <phoneticPr fontId="9"/>
  </si>
  <si>
    <t>改定後</t>
    <rPh sb="0" eb="3">
      <t>カイテイゴ</t>
    </rPh>
    <phoneticPr fontId="9"/>
  </si>
  <si>
    <t>改定前</t>
    <rPh sb="0" eb="3">
      <t>カイテイマエ</t>
    </rPh>
    <phoneticPr fontId="9"/>
  </si>
  <si>
    <t>(2か月分)</t>
    <rPh sb="3" eb="5">
      <t>ゲツブン</t>
    </rPh>
    <phoneticPr fontId="9"/>
  </si>
  <si>
    <t>使用水量（2か月）　</t>
    <rPh sb="0" eb="2">
      <t>シヨウ</t>
    </rPh>
    <rPh sb="2" eb="4">
      <t>スイリョウ</t>
    </rPh>
    <rPh sb="7" eb="8">
      <t>ゲツ</t>
    </rPh>
    <phoneticPr fontId="3"/>
  </si>
  <si>
    <t>水道メーターの口径　</t>
    <rPh sb="0" eb="2">
      <t>スイドウ</t>
    </rPh>
    <rPh sb="7" eb="9">
      <t>コウケイ</t>
    </rPh>
    <phoneticPr fontId="3"/>
  </si>
  <si>
    <r>
      <t>ｍｍ</t>
    </r>
    <r>
      <rPr>
        <sz val="12"/>
        <color rgb="FFFF0000"/>
        <rFont val="HG丸ｺﾞｼｯｸM-PRO"/>
        <family val="3"/>
        <charset val="128"/>
      </rPr>
      <t>←口径をプルダウンから選択してください</t>
    </r>
    <phoneticPr fontId="3"/>
  </si>
  <si>
    <r>
      <t>ｍ³</t>
    </r>
    <r>
      <rPr>
        <sz val="12"/>
        <color rgb="FFFF0000"/>
        <rFont val="HG丸ｺﾞｼｯｸM-PRO"/>
        <family val="3"/>
        <charset val="128"/>
      </rPr>
      <t>←使用水量を入力してください</t>
    </r>
    <phoneticPr fontId="3"/>
  </si>
  <si>
    <r>
      <t>新旧料金比較　計算シート　</t>
    </r>
    <r>
      <rPr>
        <b/>
        <sz val="12"/>
        <rFont val="HG丸ｺﾞｼｯｸM-PRO"/>
        <family val="3"/>
        <charset val="128"/>
      </rPr>
      <t>2か月あたり</t>
    </r>
    <rPh sb="0" eb="2">
      <t>シンキュウ</t>
    </rPh>
    <rPh sb="2" eb="4">
      <t>リョウキン</t>
    </rPh>
    <rPh sb="4" eb="6">
      <t>ヒカク</t>
    </rPh>
    <rPh sb="7" eb="9">
      <t>ケイサン</t>
    </rPh>
    <rPh sb="15" eb="16">
      <t>ゲツ</t>
    </rPh>
    <phoneticPr fontId="3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</si>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</sst>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&quot;¥&quot;#,###,##0"/>
    <numFmt numFmtId="177" formatCode="#,###,##0"/>
    <numFmt numFmtId="178" formatCode="??&quot;ヶ月&quot;"/>
    <numFmt numFmtId="179" formatCode="#,##0_);[Red]\(#,##0\)"/>
    <numFmt numFmtId="180" formatCode="#,##0.0_);[Red]\(#,##0.0\)"/>
    <numFmt numFmtId="181" formatCode="0.0_);[Red]\(0.0\)"/>
    <numFmt numFmtId="182" formatCode="#,###,##0&quot;㎥&quot;"/>
    <numFmt numFmtId="183" formatCode="####&quot;戸&quot;"/>
    <numFmt numFmtId="184" formatCode="####&quot;ｍｍ&quot;"/>
    <numFmt numFmtId="185" formatCode="#0&quot;日&quot;"/>
    <numFmt numFmtId="186" formatCode="#,##0_ "/>
    <numFmt numFmtId="187" formatCode="\+##,##0;\-##,##0;\±#.###0"/>
  </numFmts>
  <fonts count="28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i/>
      <sz val="1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Yu Gothic"/>
      <family val="2"/>
      <charset val="128"/>
    </font>
    <font>
      <sz val="11"/>
      <color rgb="FFC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i/>
      <sz val="14"/>
      <color theme="1"/>
      <name val="HG丸ｺﾞｼｯｸM-PRO"/>
      <family val="3"/>
      <charset val="128"/>
    </font>
    <font>
      <sz val="18"/>
      <color theme="1"/>
      <name val="Yu Gothic"/>
      <family val="2"/>
      <charset val="128"/>
    </font>
    <font>
      <b/>
      <sz val="1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b/>
      <sz val="12"/>
      <name val="HG丸ｺﾞｼｯｸM-PRO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FFC9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1"/>
    <xf numFmtId="0" fontId="2" fillId="0" borderId="0" xfId="1" applyProtection="1"/>
    <xf numFmtId="176" fontId="4" fillId="2" borderId="1" xfId="1" applyNumberFormat="1" applyFont="1" applyFill="1" applyBorder="1"/>
    <xf numFmtId="0" fontId="2" fillId="2" borderId="2" xfId="1" applyFill="1" applyBorder="1"/>
    <xf numFmtId="0" fontId="2" fillId="2" borderId="3" xfId="1" applyFill="1" applyBorder="1" applyAlignment="1">
      <alignment horizontal="right"/>
    </xf>
    <xf numFmtId="177" fontId="2" fillId="3" borderId="4" xfId="1" applyNumberFormat="1" applyFill="1" applyBorder="1"/>
    <xf numFmtId="0" fontId="2" fillId="3" borderId="5" xfId="1" applyFill="1" applyBorder="1"/>
    <xf numFmtId="0" fontId="2" fillId="3" borderId="6" xfId="1" applyFill="1" applyBorder="1" applyAlignment="1">
      <alignment horizontal="right"/>
    </xf>
    <xf numFmtId="177" fontId="2" fillId="3" borderId="5" xfId="1" applyNumberFormat="1" applyFill="1" applyBorder="1"/>
    <xf numFmtId="177" fontId="2" fillId="3" borderId="7" xfId="1" applyNumberFormat="1" applyFill="1" applyBorder="1"/>
    <xf numFmtId="177" fontId="2" fillId="3" borderId="8" xfId="1" applyNumberFormat="1" applyFill="1" applyBorder="1"/>
    <xf numFmtId="0" fontId="2" fillId="3" borderId="9" xfId="1" applyFill="1" applyBorder="1" applyAlignment="1">
      <alignment horizontal="right"/>
    </xf>
    <xf numFmtId="177" fontId="4" fillId="3" borderId="7" xfId="1" applyNumberFormat="1" applyFont="1" applyFill="1" applyBorder="1"/>
    <xf numFmtId="177" fontId="4" fillId="3" borderId="8" xfId="1" applyNumberFormat="1" applyFont="1" applyFill="1" applyBorder="1"/>
    <xf numFmtId="178" fontId="2" fillId="0" borderId="0" xfId="1" applyNumberFormat="1"/>
    <xf numFmtId="0" fontId="2" fillId="3" borderId="7" xfId="1" applyFill="1" applyBorder="1"/>
    <xf numFmtId="0" fontId="2" fillId="3" borderId="8" xfId="1" applyFill="1" applyBorder="1"/>
    <xf numFmtId="0" fontId="2" fillId="3" borderId="10" xfId="1" applyFill="1" applyBorder="1"/>
    <xf numFmtId="0" fontId="2" fillId="3" borderId="11" xfId="1" applyFill="1" applyBorder="1"/>
    <xf numFmtId="0" fontId="2" fillId="3" borderId="12" xfId="1" applyFill="1" applyBorder="1"/>
    <xf numFmtId="0" fontId="2" fillId="0" borderId="0" xfId="1" applyFill="1"/>
    <xf numFmtId="0" fontId="2" fillId="0" borderId="13" xfId="1" applyFill="1" applyBorder="1"/>
    <xf numFmtId="0" fontId="2" fillId="0" borderId="14" xfId="1" applyFill="1" applyBorder="1"/>
    <xf numFmtId="0" fontId="2" fillId="0" borderId="15" xfId="1" applyFill="1" applyBorder="1"/>
    <xf numFmtId="0" fontId="2" fillId="0" borderId="16" xfId="1" applyFill="1" applyBorder="1"/>
    <xf numFmtId="0" fontId="2" fillId="0" borderId="17" xfId="1" applyFill="1" applyBorder="1"/>
    <xf numFmtId="0" fontId="2" fillId="0" borderId="18" xfId="1" applyFill="1" applyBorder="1"/>
    <xf numFmtId="0" fontId="2" fillId="0" borderId="19" xfId="1" applyFill="1" applyBorder="1"/>
    <xf numFmtId="0" fontId="2" fillId="0" borderId="20" xfId="1" applyFill="1" applyBorder="1"/>
    <xf numFmtId="0" fontId="2" fillId="0" borderId="21" xfId="1" applyFill="1" applyBorder="1"/>
    <xf numFmtId="0" fontId="2" fillId="0" borderId="0" xfId="1" applyFill="1" applyProtection="1"/>
    <xf numFmtId="0" fontId="2" fillId="0" borderId="22" xfId="1" applyFill="1" applyBorder="1"/>
    <xf numFmtId="0" fontId="2" fillId="0" borderId="28" xfId="1" applyFill="1" applyBorder="1"/>
    <xf numFmtId="0" fontId="2" fillId="0" borderId="29" xfId="1" applyFill="1" applyBorder="1" applyAlignment="1">
      <alignment horizontal="center" vertical="center"/>
    </xf>
    <xf numFmtId="0" fontId="2" fillId="0" borderId="30" xfId="1" applyFill="1" applyBorder="1"/>
    <xf numFmtId="0" fontId="2" fillId="0" borderId="33" xfId="1" applyFill="1" applyBorder="1"/>
    <xf numFmtId="176" fontId="4" fillId="4" borderId="1" xfId="1" applyNumberFormat="1" applyFont="1" applyFill="1" applyBorder="1"/>
    <xf numFmtId="177" fontId="2" fillId="4" borderId="2" xfId="1" applyNumberFormat="1" applyFill="1" applyBorder="1"/>
    <xf numFmtId="0" fontId="2" fillId="4" borderId="3" xfId="1" applyFill="1" applyBorder="1" applyAlignment="1">
      <alignment horizontal="right"/>
    </xf>
    <xf numFmtId="0" fontId="2" fillId="5" borderId="37" xfId="1" applyNumberFormat="1" applyFill="1" applyBorder="1"/>
    <xf numFmtId="0" fontId="2" fillId="5" borderId="38" xfId="1" applyNumberFormat="1" applyFill="1" applyBorder="1"/>
    <xf numFmtId="0" fontId="2" fillId="5" borderId="39" xfId="1" applyNumberFormat="1" applyFill="1" applyBorder="1"/>
    <xf numFmtId="179" fontId="4" fillId="4" borderId="40" xfId="1" applyNumberFormat="1" applyFont="1" applyFill="1" applyBorder="1"/>
    <xf numFmtId="0" fontId="4" fillId="4" borderId="41" xfId="1" applyFont="1" applyFill="1" applyBorder="1"/>
    <xf numFmtId="180" fontId="4" fillId="5" borderId="7" xfId="1" applyNumberFormat="1" applyFont="1" applyFill="1" applyBorder="1"/>
    <xf numFmtId="0" fontId="2" fillId="5" borderId="8" xfId="1" applyFill="1" applyBorder="1"/>
    <xf numFmtId="0" fontId="2" fillId="5" borderId="9" xfId="1" applyFill="1" applyBorder="1" applyAlignment="1">
      <alignment horizontal="right"/>
    </xf>
    <xf numFmtId="179" fontId="4" fillId="6" borderId="42" xfId="1" applyNumberFormat="1" applyFont="1" applyFill="1" applyBorder="1"/>
    <xf numFmtId="0" fontId="4" fillId="6" borderId="43" xfId="1" applyFont="1" applyFill="1" applyBorder="1"/>
    <xf numFmtId="180" fontId="2" fillId="5" borderId="7" xfId="1" applyNumberFormat="1" applyFill="1" applyBorder="1"/>
    <xf numFmtId="179" fontId="4" fillId="5" borderId="44" xfId="1" applyNumberFormat="1" applyFont="1" applyFill="1" applyBorder="1"/>
    <xf numFmtId="0" fontId="4" fillId="5" borderId="45" xfId="1" applyFont="1" applyFill="1" applyBorder="1"/>
    <xf numFmtId="177" fontId="4" fillId="5" borderId="8" xfId="1" applyNumberFormat="1" applyFont="1" applyFill="1" applyBorder="1"/>
    <xf numFmtId="0" fontId="2" fillId="5" borderId="8" xfId="1" applyNumberFormat="1" applyFill="1" applyBorder="1"/>
    <xf numFmtId="0" fontId="2" fillId="5" borderId="9" xfId="1" applyNumberFormat="1" applyFill="1" applyBorder="1"/>
    <xf numFmtId="177" fontId="2" fillId="5" borderId="8" xfId="1" applyNumberFormat="1" applyFill="1" applyBorder="1"/>
    <xf numFmtId="177" fontId="7" fillId="5" borderId="8" xfId="1" applyNumberFormat="1" applyFont="1" applyFill="1" applyBorder="1"/>
    <xf numFmtId="0" fontId="2" fillId="0" borderId="0" xfId="1" applyFill="1" applyBorder="1"/>
    <xf numFmtId="181" fontId="2" fillId="5" borderId="10" xfId="1" applyNumberFormat="1" applyFill="1" applyBorder="1"/>
    <xf numFmtId="0" fontId="2" fillId="5" borderId="11" xfId="1" applyFill="1" applyBorder="1"/>
    <xf numFmtId="0" fontId="2" fillId="5" borderId="12" xfId="1" applyFill="1" applyBorder="1"/>
    <xf numFmtId="0" fontId="2" fillId="0" borderId="0" xfId="1" applyFill="1" applyBorder="1" applyAlignment="1"/>
    <xf numFmtId="0" fontId="2" fillId="7" borderId="46" xfId="1" applyNumberFormat="1" applyFill="1" applyBorder="1"/>
    <xf numFmtId="0" fontId="2" fillId="0" borderId="29" xfId="1" applyFill="1" applyBorder="1"/>
    <xf numFmtId="9" fontId="2" fillId="8" borderId="37" xfId="1" applyNumberFormat="1" applyFill="1" applyBorder="1" applyAlignment="1">
      <alignment horizontal="right"/>
    </xf>
    <xf numFmtId="0" fontId="2" fillId="9" borderId="39" xfId="1" applyFill="1" applyBorder="1"/>
    <xf numFmtId="9" fontId="2" fillId="8" borderId="7" xfId="1" applyNumberFormat="1" applyFill="1" applyBorder="1" applyAlignment="1">
      <alignment horizontal="right"/>
    </xf>
    <xf numFmtId="0" fontId="2" fillId="9" borderId="9" xfId="1" applyFill="1" applyBorder="1"/>
    <xf numFmtId="178" fontId="2" fillId="0" borderId="0" xfId="1" applyNumberFormat="1" applyFill="1"/>
    <xf numFmtId="0" fontId="2" fillId="8" borderId="7" xfId="1" applyFill="1" applyBorder="1" applyAlignment="1">
      <alignment horizontal="right"/>
    </xf>
    <xf numFmtId="182" fontId="2" fillId="8" borderId="7" xfId="1" applyNumberFormat="1" applyFill="1" applyBorder="1" applyAlignment="1">
      <alignment horizontal="right"/>
    </xf>
    <xf numFmtId="183" fontId="2" fillId="8" borderId="7" xfId="1" applyNumberFormat="1" applyFill="1" applyBorder="1" applyAlignment="1">
      <alignment horizontal="right"/>
    </xf>
    <xf numFmtId="0" fontId="2" fillId="7" borderId="46" xfId="1" applyNumberFormat="1" applyFill="1" applyBorder="1" applyAlignment="1">
      <alignment horizontal="right"/>
    </xf>
    <xf numFmtId="0" fontId="2" fillId="0" borderId="29" xfId="1" applyFill="1" applyBorder="1" applyAlignment="1">
      <alignment horizontal="center"/>
    </xf>
    <xf numFmtId="177" fontId="4" fillId="7" borderId="52" xfId="1" applyNumberFormat="1" applyFont="1" applyFill="1" applyBorder="1" applyProtection="1">
      <protection locked="0"/>
    </xf>
    <xf numFmtId="0" fontId="2" fillId="0" borderId="24" xfId="1" applyFill="1" applyBorder="1" applyAlignment="1">
      <alignment horizontal="center"/>
    </xf>
    <xf numFmtId="184" fontId="2" fillId="8" borderId="55" xfId="1" applyNumberFormat="1" applyFill="1" applyBorder="1" applyAlignment="1">
      <alignment horizontal="right"/>
    </xf>
    <xf numFmtId="0" fontId="2" fillId="9" borderId="56" xfId="1" applyFill="1" applyBorder="1"/>
    <xf numFmtId="0" fontId="2" fillId="7" borderId="52" xfId="1" applyFill="1" applyBorder="1" applyProtection="1">
      <protection locked="0"/>
    </xf>
    <xf numFmtId="178" fontId="2" fillId="8" borderId="7" xfId="1" applyNumberFormat="1" applyFill="1" applyBorder="1" applyAlignment="1">
      <alignment horizontal="right"/>
    </xf>
    <xf numFmtId="178" fontId="2" fillId="8" borderId="10" xfId="1" applyNumberFormat="1" applyFill="1" applyBorder="1" applyAlignment="1">
      <alignment horizontal="right"/>
    </xf>
    <xf numFmtId="0" fontId="2" fillId="9" borderId="12" xfId="1" applyFill="1" applyBorder="1"/>
    <xf numFmtId="57" fontId="2" fillId="0" borderId="0" xfId="1" applyNumberFormat="1" applyFill="1"/>
    <xf numFmtId="0" fontId="2" fillId="0" borderId="0" xfId="1" applyFill="1" applyAlignment="1"/>
    <xf numFmtId="0" fontId="4" fillId="7" borderId="53" xfId="1" applyFont="1" applyFill="1" applyBorder="1" applyProtection="1">
      <protection locked="0"/>
    </xf>
    <xf numFmtId="0" fontId="2" fillId="0" borderId="27" xfId="1" applyFill="1" applyBorder="1" applyAlignment="1">
      <alignment horizontal="center"/>
    </xf>
    <xf numFmtId="185" fontId="2" fillId="0" borderId="59" xfId="1" applyNumberFormat="1" applyFill="1" applyBorder="1" applyAlignment="1" applyProtection="1">
      <alignment horizontal="right"/>
    </xf>
    <xf numFmtId="57" fontId="4" fillId="7" borderId="59" xfId="1" applyNumberFormat="1" applyFont="1" applyFill="1" applyBorder="1" applyProtection="1">
      <protection locked="0"/>
    </xf>
    <xf numFmtId="57" fontId="4" fillId="7" borderId="29" xfId="1" applyNumberFormat="1" applyFont="1" applyFill="1" applyBorder="1" applyProtection="1">
      <protection locked="0"/>
    </xf>
    <xf numFmtId="0" fontId="2" fillId="0" borderId="23" xfId="1" applyFill="1" applyBorder="1"/>
    <xf numFmtId="0" fontId="2" fillId="0" borderId="24" xfId="1" applyFill="1" applyBorder="1"/>
    <xf numFmtId="186" fontId="10" fillId="11" borderId="64" xfId="2" applyNumberFormat="1" applyFont="1" applyFill="1" applyBorder="1" applyAlignment="1" applyProtection="1">
      <alignment horizontal="center" vertical="center"/>
      <protection hidden="1"/>
    </xf>
    <xf numFmtId="187" fontId="10" fillId="11" borderId="66" xfId="2" applyNumberFormat="1" applyFont="1" applyFill="1" applyBorder="1" applyProtection="1">
      <alignment vertical="center"/>
      <protection hidden="1"/>
    </xf>
    <xf numFmtId="186" fontId="11" fillId="11" borderId="67" xfId="2" applyNumberFormat="1" applyFont="1" applyFill="1" applyBorder="1" applyProtection="1">
      <alignment vertical="center"/>
      <protection hidden="1"/>
    </xf>
    <xf numFmtId="186" fontId="10" fillId="11" borderId="66" xfId="2" applyNumberFormat="1" applyFont="1" applyFill="1" applyBorder="1" applyAlignment="1" applyProtection="1">
      <alignment horizontal="center" vertical="center"/>
      <protection hidden="1"/>
    </xf>
    <xf numFmtId="186" fontId="10" fillId="11" borderId="66" xfId="2" applyNumberFormat="1" applyFont="1" applyFill="1" applyBorder="1" applyProtection="1">
      <alignment vertical="center"/>
      <protection hidden="1"/>
    </xf>
    <xf numFmtId="0" fontId="12" fillId="11" borderId="68" xfId="2" applyFont="1" applyFill="1" applyBorder="1" applyAlignment="1" applyProtection="1">
      <alignment horizontal="center" vertical="center" shrinkToFit="1"/>
      <protection hidden="1"/>
    </xf>
    <xf numFmtId="0" fontId="1" fillId="0" borderId="0" xfId="2" applyFill="1">
      <alignment vertical="center"/>
    </xf>
    <xf numFmtId="0" fontId="23" fillId="0" borderId="0" xfId="2" applyFont="1" applyFill="1">
      <alignment vertical="center"/>
    </xf>
    <xf numFmtId="0" fontId="21" fillId="0" borderId="0" xfId="2" applyFont="1" applyFill="1" applyProtection="1">
      <alignment vertical="center"/>
      <protection hidden="1"/>
    </xf>
    <xf numFmtId="0" fontId="20" fillId="0" borderId="0" xfId="2" applyFont="1" applyFill="1" applyProtection="1">
      <alignment vertical="center"/>
      <protection hidden="1"/>
    </xf>
    <xf numFmtId="0" fontId="19" fillId="0" borderId="0" xfId="2" applyFont="1" applyFill="1">
      <alignment vertical="center"/>
    </xf>
    <xf numFmtId="0" fontId="16" fillId="0" borderId="23" xfId="2" applyFont="1" applyFill="1" applyBorder="1" applyProtection="1">
      <alignment vertical="center"/>
      <protection hidden="1"/>
    </xf>
    <xf numFmtId="0" fontId="12" fillId="0" borderId="85" xfId="2" applyFont="1" applyFill="1" applyBorder="1" applyAlignment="1" applyProtection="1">
      <alignment horizontal="center" vertical="center"/>
      <protection hidden="1"/>
    </xf>
    <xf numFmtId="186" fontId="14" fillId="0" borderId="84" xfId="2" applyNumberFormat="1" applyFont="1" applyFill="1" applyBorder="1" applyAlignment="1" applyProtection="1">
      <alignment horizontal="right" vertical="center"/>
      <protection hidden="1"/>
    </xf>
    <xf numFmtId="186" fontId="13" fillId="0" borderId="84" xfId="2" applyNumberFormat="1" applyFont="1" applyFill="1" applyBorder="1" applyAlignment="1" applyProtection="1">
      <alignment horizontal="center" vertical="center"/>
      <protection hidden="1"/>
    </xf>
    <xf numFmtId="186" fontId="14" fillId="0" borderId="83" xfId="2" applyNumberFormat="1" applyFont="1" applyFill="1" applyBorder="1" applyProtection="1">
      <alignment vertical="center"/>
      <protection hidden="1"/>
    </xf>
    <xf numFmtId="186" fontId="13" fillId="0" borderId="82" xfId="2" applyNumberFormat="1" applyFont="1" applyFill="1" applyBorder="1" applyAlignment="1" applyProtection="1">
      <alignment horizontal="center" vertical="center"/>
      <protection hidden="1"/>
    </xf>
    <xf numFmtId="187" fontId="14" fillId="0" borderId="84" xfId="2" applyNumberFormat="1" applyFont="1" applyFill="1" applyBorder="1" applyProtection="1">
      <alignment vertical="center"/>
      <protection hidden="1"/>
    </xf>
    <xf numFmtId="0" fontId="12" fillId="0" borderId="5" xfId="2" applyFont="1" applyFill="1" applyBorder="1" applyAlignment="1" applyProtection="1">
      <alignment horizontal="center" vertical="center"/>
      <protection hidden="1"/>
    </xf>
    <xf numFmtId="186" fontId="14" fillId="0" borderId="79" xfId="2" applyNumberFormat="1" applyFont="1" applyFill="1" applyBorder="1" applyAlignment="1" applyProtection="1">
      <alignment horizontal="right" vertical="center"/>
      <protection hidden="1"/>
    </xf>
    <xf numFmtId="186" fontId="13" fillId="0" borderId="79" xfId="2" applyNumberFormat="1" applyFont="1" applyFill="1" applyBorder="1" applyAlignment="1" applyProtection="1">
      <alignment horizontal="center" vertical="center"/>
      <protection hidden="1"/>
    </xf>
    <xf numFmtId="186" fontId="14" fillId="0" borderId="78" xfId="2" applyNumberFormat="1" applyFont="1" applyFill="1" applyBorder="1" applyProtection="1">
      <alignment vertical="center"/>
      <protection hidden="1"/>
    </xf>
    <xf numFmtId="186" fontId="13" fillId="0" borderId="77" xfId="2" applyNumberFormat="1" applyFont="1" applyFill="1" applyBorder="1" applyAlignment="1" applyProtection="1">
      <alignment horizontal="center" vertical="center"/>
      <protection hidden="1"/>
    </xf>
    <xf numFmtId="187" fontId="14" fillId="0" borderId="79" xfId="2" applyNumberFormat="1" applyFont="1" applyFill="1" applyBorder="1" applyProtection="1">
      <alignment vertical="center"/>
      <protection hidden="1"/>
    </xf>
    <xf numFmtId="0" fontId="12" fillId="0" borderId="74" xfId="2" applyFont="1" applyFill="1" applyBorder="1" applyAlignment="1" applyProtection="1">
      <alignment horizontal="center" vertical="center"/>
      <protection hidden="1"/>
    </xf>
    <xf numFmtId="186" fontId="14" fillId="0" borderId="73" xfId="2" applyNumberFormat="1" applyFont="1" applyFill="1" applyBorder="1" applyAlignment="1" applyProtection="1">
      <alignment horizontal="right" vertical="center"/>
      <protection hidden="1"/>
    </xf>
    <xf numFmtId="186" fontId="13" fillId="0" borderId="73" xfId="2" applyNumberFormat="1" applyFont="1" applyFill="1" applyBorder="1" applyAlignment="1" applyProtection="1">
      <alignment horizontal="center" vertical="center"/>
      <protection hidden="1"/>
    </xf>
    <xf numFmtId="186" fontId="14" fillId="0" borderId="72" xfId="2" applyNumberFormat="1" applyFont="1" applyFill="1" applyBorder="1" applyProtection="1">
      <alignment vertical="center"/>
      <protection hidden="1"/>
    </xf>
    <xf numFmtId="186" fontId="13" fillId="0" borderId="71" xfId="2" applyNumberFormat="1" applyFont="1" applyFill="1" applyBorder="1" applyAlignment="1" applyProtection="1">
      <alignment horizontal="center" vertical="center"/>
      <protection hidden="1"/>
    </xf>
    <xf numFmtId="187" fontId="14" fillId="0" borderId="73" xfId="2" applyNumberFormat="1" applyFont="1" applyFill="1" applyBorder="1" applyProtection="1">
      <alignment vertical="center"/>
      <protection hidden="1"/>
    </xf>
    <xf numFmtId="186" fontId="8" fillId="0" borderId="63" xfId="2" applyNumberFormat="1" applyFont="1" applyFill="1" applyBorder="1">
      <alignment vertical="center"/>
    </xf>
    <xf numFmtId="186" fontId="8" fillId="0" borderId="66" xfId="2" applyNumberFormat="1" applyFont="1" applyFill="1" applyBorder="1" applyAlignment="1" applyProtection="1">
      <alignment horizontal="center" vertical="center"/>
      <protection hidden="1"/>
    </xf>
    <xf numFmtId="186" fontId="8" fillId="0" borderId="65" xfId="2" applyNumberFormat="1" applyFont="1" applyFill="1" applyBorder="1">
      <alignment vertical="center"/>
    </xf>
    <xf numFmtId="186" fontId="8" fillId="0" borderId="64" xfId="2" applyNumberFormat="1" applyFont="1" applyFill="1" applyBorder="1" applyAlignment="1" applyProtection="1">
      <alignment horizontal="center" vertical="center"/>
      <protection hidden="1"/>
    </xf>
    <xf numFmtId="187" fontId="8" fillId="0" borderId="63" xfId="2" applyNumberFormat="1" applyFont="1" applyFill="1" applyBorder="1">
      <alignment vertical="center"/>
    </xf>
    <xf numFmtId="186" fontId="8" fillId="0" borderId="62" xfId="2" applyNumberFormat="1" applyFont="1" applyFill="1" applyBorder="1" applyAlignment="1" applyProtection="1">
      <alignment horizontal="center" vertical="center"/>
      <protection hidden="1"/>
    </xf>
    <xf numFmtId="0" fontId="12" fillId="12" borderId="68" xfId="2" applyFont="1" applyFill="1" applyBorder="1" applyAlignment="1" applyProtection="1">
      <alignment horizontal="center" vertical="center"/>
      <protection hidden="1"/>
    </xf>
    <xf numFmtId="186" fontId="10" fillId="12" borderId="66" xfId="2" applyNumberFormat="1" applyFont="1" applyFill="1" applyBorder="1" applyProtection="1">
      <alignment vertical="center"/>
      <protection hidden="1"/>
    </xf>
    <xf numFmtId="186" fontId="10" fillId="12" borderId="66" xfId="2" applyNumberFormat="1" applyFont="1" applyFill="1" applyBorder="1" applyAlignment="1" applyProtection="1">
      <alignment horizontal="center" vertical="center"/>
      <protection hidden="1"/>
    </xf>
    <xf numFmtId="186" fontId="15" fillId="12" borderId="67" xfId="2" applyNumberFormat="1" applyFont="1" applyFill="1" applyBorder="1" applyProtection="1">
      <alignment vertical="center"/>
      <protection hidden="1"/>
    </xf>
    <xf numFmtId="186" fontId="10" fillId="12" borderId="64" xfId="2" applyNumberFormat="1" applyFont="1" applyFill="1" applyBorder="1" applyAlignment="1" applyProtection="1">
      <alignment horizontal="center" vertical="center"/>
      <protection hidden="1"/>
    </xf>
    <xf numFmtId="187" fontId="10" fillId="12" borderId="66" xfId="2" applyNumberFormat="1" applyFont="1" applyFill="1" applyBorder="1" applyProtection="1">
      <alignment vertical="center"/>
      <protection hidden="1"/>
    </xf>
    <xf numFmtId="0" fontId="19" fillId="13" borderId="0" xfId="2" applyFont="1" applyFill="1" applyProtection="1">
      <alignment vertical="center"/>
      <protection hidden="1"/>
    </xf>
    <xf numFmtId="0" fontId="12" fillId="13" borderId="0" xfId="2" applyFont="1" applyFill="1" applyProtection="1">
      <alignment vertical="center"/>
      <protection hidden="1"/>
    </xf>
    <xf numFmtId="0" fontId="1" fillId="14" borderId="0" xfId="2" applyFill="1" applyProtection="1">
      <alignment vertical="center"/>
      <protection hidden="1"/>
    </xf>
    <xf numFmtId="0" fontId="23" fillId="14" borderId="0" xfId="2" applyFont="1" applyFill="1" applyProtection="1">
      <alignment vertical="center"/>
      <protection hidden="1"/>
    </xf>
    <xf numFmtId="0" fontId="19" fillId="14" borderId="0" xfId="2" applyFont="1" applyFill="1" applyProtection="1">
      <alignment vertical="center"/>
      <protection hidden="1"/>
    </xf>
    <xf numFmtId="0" fontId="1" fillId="14" borderId="0" xfId="2" applyFill="1">
      <alignment vertical="center"/>
    </xf>
    <xf numFmtId="0" fontId="24" fillId="14" borderId="0" xfId="2" applyFont="1" applyFill="1" applyAlignment="1" applyProtection="1">
      <alignment vertical="center"/>
      <protection hidden="1"/>
    </xf>
    <xf numFmtId="0" fontId="19" fillId="14" borderId="0" xfId="2" applyFont="1" applyFill="1">
      <alignment vertical="center"/>
    </xf>
    <xf numFmtId="0" fontId="1" fillId="14" borderId="0" xfId="2" applyFont="1" applyFill="1">
      <alignment vertical="center"/>
    </xf>
    <xf numFmtId="0" fontId="18" fillId="14" borderId="0" xfId="2" applyFont="1" applyFill="1" applyProtection="1">
      <alignment vertical="center"/>
      <protection hidden="1"/>
    </xf>
    <xf numFmtId="0" fontId="12" fillId="14" borderId="0" xfId="2" applyFont="1" applyFill="1" applyAlignment="1" applyProtection="1">
      <alignment vertical="center"/>
      <protection hidden="1"/>
    </xf>
    <xf numFmtId="0" fontId="12" fillId="14" borderId="0" xfId="2" applyFont="1" applyFill="1" applyProtection="1">
      <alignment vertical="center"/>
      <protection hidden="1"/>
    </xf>
    <xf numFmtId="0" fontId="1" fillId="14" borderId="64" xfId="2" applyFill="1" applyBorder="1">
      <alignment vertical="center"/>
    </xf>
    <xf numFmtId="0" fontId="12" fillId="14" borderId="0" xfId="2" applyFont="1" applyFill="1" applyAlignment="1" applyProtection="1">
      <alignment horizontal="right" vertical="center"/>
      <protection hidden="1"/>
    </xf>
    <xf numFmtId="0" fontId="22" fillId="14" borderId="0" xfId="2" applyFont="1" applyFill="1">
      <alignment vertical="center"/>
    </xf>
    <xf numFmtId="0" fontId="21" fillId="14" borderId="0" xfId="2" applyFont="1" applyFill="1" applyProtection="1">
      <alignment vertical="center"/>
      <protection hidden="1"/>
    </xf>
    <xf numFmtId="0" fontId="20" fillId="14" borderId="0" xfId="2" applyFont="1" applyFill="1" applyProtection="1">
      <alignment vertical="center"/>
      <protection hidden="1"/>
    </xf>
    <xf numFmtId="0" fontId="18" fillId="14" borderId="0" xfId="2" applyFont="1" applyFill="1">
      <alignment vertical="center"/>
    </xf>
    <xf numFmtId="0" fontId="26" fillId="0" borderId="0" xfId="2" applyFont="1" applyFill="1" applyAlignment="1">
      <alignment horizontal="left" vertical="center" wrapText="1"/>
    </xf>
    <xf numFmtId="0" fontId="10" fillId="12" borderId="86" xfId="2" applyFont="1" applyFill="1" applyBorder="1" applyAlignment="1">
      <alignment horizontal="center" vertical="center"/>
    </xf>
    <xf numFmtId="0" fontId="10" fillId="12" borderId="75" xfId="2" applyFont="1" applyFill="1" applyBorder="1" applyAlignment="1">
      <alignment horizontal="center" vertical="center"/>
    </xf>
    <xf numFmtId="0" fontId="10" fillId="12" borderId="68" xfId="2" applyFont="1" applyFill="1" applyBorder="1" applyAlignment="1">
      <alignment horizontal="center" vertical="center"/>
    </xf>
    <xf numFmtId="0" fontId="10" fillId="11" borderId="86" xfId="2" applyFont="1" applyFill="1" applyBorder="1" applyAlignment="1">
      <alignment horizontal="center" vertical="center"/>
    </xf>
    <xf numFmtId="0" fontId="10" fillId="11" borderId="75" xfId="2" applyFont="1" applyFill="1" applyBorder="1" applyAlignment="1">
      <alignment horizontal="center" vertical="center"/>
    </xf>
    <xf numFmtId="0" fontId="10" fillId="11" borderId="68" xfId="2" applyFont="1" applyFill="1" applyBorder="1" applyAlignment="1">
      <alignment horizontal="center" vertical="center"/>
    </xf>
    <xf numFmtId="187" fontId="11" fillId="0" borderId="81" xfId="2" applyNumberFormat="1" applyFont="1" applyFill="1" applyBorder="1" applyAlignment="1" applyProtection="1">
      <alignment horizontal="center" vertical="center"/>
      <protection hidden="1"/>
    </xf>
    <xf numFmtId="187" fontId="11" fillId="0" borderId="80" xfId="2" applyNumberFormat="1" applyFont="1" applyFill="1" applyBorder="1" applyAlignment="1" applyProtection="1">
      <alignment horizontal="center" vertical="center"/>
      <protection hidden="1"/>
    </xf>
    <xf numFmtId="187" fontId="11" fillId="0" borderId="0" xfId="2" applyNumberFormat="1" applyFont="1" applyFill="1" applyBorder="1" applyAlignment="1" applyProtection="1">
      <alignment horizontal="center" vertical="center"/>
      <protection hidden="1"/>
    </xf>
    <xf numFmtId="187" fontId="11" fillId="0" borderId="76" xfId="2" applyNumberFormat="1" applyFont="1" applyFill="1" applyBorder="1" applyAlignment="1" applyProtection="1">
      <alignment horizontal="center" vertical="center"/>
      <protection hidden="1"/>
    </xf>
    <xf numFmtId="187" fontId="11" fillId="0" borderId="70" xfId="2" applyNumberFormat="1" applyFont="1" applyFill="1" applyBorder="1" applyAlignment="1" applyProtection="1">
      <alignment horizontal="center" vertical="center"/>
      <protection hidden="1"/>
    </xf>
    <xf numFmtId="187" fontId="11" fillId="0" borderId="69" xfId="2" applyNumberFormat="1" applyFont="1" applyFill="1" applyBorder="1" applyAlignment="1" applyProtection="1">
      <alignment horizontal="center" vertical="center"/>
      <protection hidden="1"/>
    </xf>
    <xf numFmtId="0" fontId="8" fillId="0" borderId="65" xfId="2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/>
    </xf>
    <xf numFmtId="0" fontId="24" fillId="0" borderId="89" xfId="2" applyFont="1" applyFill="1" applyBorder="1" applyAlignment="1" applyProtection="1">
      <alignment horizontal="center" vertical="center"/>
      <protection hidden="1"/>
    </xf>
    <xf numFmtId="0" fontId="24" fillId="0" borderId="88" xfId="2" applyFont="1" applyFill="1" applyBorder="1" applyAlignment="1" applyProtection="1">
      <alignment horizontal="center" vertical="center"/>
      <protection hidden="1"/>
    </xf>
    <xf numFmtId="0" fontId="24" fillId="0" borderId="87" xfId="2" applyFont="1" applyFill="1" applyBorder="1" applyAlignment="1" applyProtection="1">
      <alignment horizontal="center" vertical="center"/>
      <protection hidden="1"/>
    </xf>
    <xf numFmtId="0" fontId="17" fillId="14" borderId="66" xfId="2" applyFont="1" applyFill="1" applyBorder="1" applyAlignment="1" applyProtection="1">
      <alignment horizontal="right" vertical="center"/>
      <protection hidden="1"/>
    </xf>
    <xf numFmtId="0" fontId="10" fillId="0" borderId="65" xfId="2" applyFont="1" applyFill="1" applyBorder="1" applyAlignment="1" applyProtection="1">
      <alignment horizontal="center" vertical="center"/>
      <protection hidden="1"/>
    </xf>
    <xf numFmtId="0" fontId="10" fillId="0" borderId="63" xfId="2" applyFont="1" applyFill="1" applyBorder="1" applyAlignment="1" applyProtection="1">
      <alignment horizontal="center" vertical="center"/>
      <protection hidden="1"/>
    </xf>
    <xf numFmtId="0" fontId="15" fillId="0" borderId="65" xfId="2" applyFont="1" applyFill="1" applyBorder="1" applyAlignment="1" applyProtection="1">
      <alignment horizontal="center" vertical="center"/>
      <protection hidden="1"/>
    </xf>
    <xf numFmtId="0" fontId="15" fillId="0" borderId="34" xfId="2" applyFont="1" applyFill="1" applyBorder="1" applyAlignment="1" applyProtection="1">
      <alignment horizontal="center" vertical="center"/>
      <protection hidden="1"/>
    </xf>
    <xf numFmtId="0" fontId="11" fillId="0" borderId="63" xfId="2" applyFont="1" applyFill="1" applyBorder="1" applyAlignment="1" applyProtection="1">
      <alignment horizontal="center" vertical="center"/>
      <protection hidden="1"/>
    </xf>
    <xf numFmtId="0" fontId="11" fillId="0" borderId="34" xfId="2" applyFont="1" applyFill="1" applyBorder="1" applyAlignment="1" applyProtection="1">
      <alignment horizontal="center" vertical="center"/>
      <protection hidden="1"/>
    </xf>
    <xf numFmtId="0" fontId="22" fillId="0" borderId="65" xfId="2" applyFont="1" applyFill="1" applyBorder="1" applyAlignment="1" applyProtection="1">
      <alignment horizontal="center" vertical="center"/>
      <protection locked="0"/>
    </xf>
    <xf numFmtId="0" fontId="22" fillId="0" borderId="34" xfId="2" applyFont="1" applyFill="1" applyBorder="1" applyAlignment="1" applyProtection="1">
      <alignment horizontal="center" vertical="center"/>
      <protection locked="0"/>
    </xf>
    <xf numFmtId="186" fontId="22" fillId="0" borderId="65" xfId="2" applyNumberFormat="1" applyFont="1" applyFill="1" applyBorder="1" applyAlignment="1" applyProtection="1">
      <alignment horizontal="center" vertical="center"/>
      <protection locked="0"/>
    </xf>
    <xf numFmtId="186" fontId="22" fillId="0" borderId="34" xfId="2" applyNumberFormat="1" applyFont="1" applyFill="1" applyBorder="1" applyAlignment="1" applyProtection="1">
      <alignment horizontal="center" vertical="center"/>
      <protection locked="0"/>
    </xf>
    <xf numFmtId="0" fontId="2" fillId="0" borderId="54" xfId="1" applyFill="1" applyBorder="1" applyAlignment="1">
      <alignment horizontal="distributed" vertical="distributed"/>
    </xf>
    <xf numFmtId="0" fontId="2" fillId="0" borderId="49" xfId="1" applyFill="1" applyBorder="1" applyAlignment="1">
      <alignment horizontal="distributed" vertical="distributed"/>
    </xf>
    <xf numFmtId="0" fontId="2" fillId="0" borderId="47" xfId="1" applyFill="1" applyBorder="1" applyAlignment="1">
      <alignment horizontal="distributed" vertical="distributed"/>
    </xf>
    <xf numFmtId="0" fontId="2" fillId="0" borderId="27" xfId="1" applyFill="1" applyBorder="1" applyAlignment="1">
      <alignment horizontal="center" vertical="center" wrapText="1"/>
    </xf>
    <xf numFmtId="0" fontId="2" fillId="0" borderId="24" xfId="1" applyFill="1" applyBorder="1" applyAlignment="1">
      <alignment horizontal="center" vertical="center" wrapText="1"/>
    </xf>
    <xf numFmtId="0" fontId="2" fillId="7" borderId="53" xfId="1" applyFill="1" applyBorder="1" applyAlignment="1" applyProtection="1">
      <protection locked="0"/>
    </xf>
    <xf numFmtId="0" fontId="2" fillId="7" borderId="52" xfId="1" applyFill="1" applyBorder="1" applyAlignment="1" applyProtection="1">
      <protection locked="0"/>
    </xf>
    <xf numFmtId="0" fontId="2" fillId="0" borderId="51" xfId="1" applyFill="1" applyBorder="1" applyAlignment="1">
      <alignment horizontal="center" vertical="center" wrapText="1"/>
    </xf>
    <xf numFmtId="0" fontId="2" fillId="0" borderId="32" xfId="1" applyFill="1" applyBorder="1" applyAlignment="1">
      <alignment horizontal="center" vertical="center" wrapText="1"/>
    </xf>
    <xf numFmtId="0" fontId="2" fillId="0" borderId="61" xfId="1" applyFill="1" applyBorder="1" applyAlignment="1">
      <alignment horizontal="center"/>
    </xf>
    <xf numFmtId="0" fontId="2" fillId="0" borderId="60" xfId="1" applyFill="1" applyBorder="1" applyAlignment="1">
      <alignment horizontal="center"/>
    </xf>
    <xf numFmtId="0" fontId="2" fillId="0" borderId="35" xfId="1" applyFill="1" applyBorder="1" applyAlignment="1">
      <alignment horizontal="center"/>
    </xf>
    <xf numFmtId="0" fontId="2" fillId="7" borderId="52" xfId="1" applyFill="1" applyBorder="1" applyAlignment="1" applyProtection="1">
      <alignment horizontal="right"/>
      <protection locked="0"/>
    </xf>
    <xf numFmtId="0" fontId="2" fillId="10" borderId="58" xfId="1" applyFill="1" applyBorder="1" applyAlignment="1">
      <alignment horizontal="center"/>
    </xf>
    <xf numFmtId="0" fontId="2" fillId="10" borderId="57" xfId="1" applyFill="1" applyBorder="1" applyAlignment="1">
      <alignment horizontal="center"/>
    </xf>
    <xf numFmtId="0" fontId="2" fillId="7" borderId="50" xfId="1" applyFill="1" applyBorder="1" applyAlignment="1" applyProtection="1">
      <protection locked="0"/>
    </xf>
    <xf numFmtId="0" fontId="2" fillId="7" borderId="48" xfId="1" applyFill="1" applyBorder="1" applyAlignment="1" applyProtection="1">
      <protection locked="0"/>
    </xf>
    <xf numFmtId="0" fontId="2" fillId="0" borderId="27" xfId="1" applyFill="1" applyBorder="1" applyAlignment="1">
      <alignment horizontal="center" vertical="center"/>
    </xf>
    <xf numFmtId="0" fontId="2" fillId="0" borderId="24" xfId="1" applyFill="1" applyBorder="1" applyAlignment="1">
      <alignment horizontal="center" vertical="center"/>
    </xf>
    <xf numFmtId="0" fontId="2" fillId="0" borderId="26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2" fillId="0" borderId="35" xfId="1" applyFill="1" applyBorder="1" applyAlignment="1">
      <alignment horizontal="center" vertical="center"/>
    </xf>
    <xf numFmtId="0" fontId="2" fillId="0" borderId="34" xfId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distributed" vertical="distributed" textRotation="255"/>
    </xf>
    <xf numFmtId="0" fontId="2" fillId="0" borderId="32" xfId="1" applyFont="1" applyFill="1" applyBorder="1" applyAlignment="1">
      <alignment horizontal="distributed" vertical="distributed" textRotation="255"/>
    </xf>
    <xf numFmtId="0" fontId="2" fillId="0" borderId="31" xfId="1" applyFont="1" applyFill="1" applyBorder="1" applyAlignment="1">
      <alignment horizontal="distributed" vertical="distributed" textRotation="255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E4FFC9"/>
      <color rgb="FFCCFFFF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27214</xdr:colOff>
      <xdr:row>2</xdr:row>
      <xdr:rowOff>108857</xdr:rowOff>
    </xdr:from>
    <xdr:to>
      <xdr:col>14</xdr:col>
      <xdr:colOff>217715</xdr:colOff>
      <xdr:row>28</xdr:row>
      <xdr:rowOff>204108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9107" y="748393"/>
          <a:ext cx="2911929" cy="7402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9524</xdr:colOff>
      <xdr:row>0</xdr:row>
      <xdr:rowOff>0</xdr:rowOff>
    </xdr:from>
    <xdr:to>
      <xdr:col>14</xdr:col>
      <xdr:colOff>180975</xdr:colOff>
      <xdr:row>2</xdr:row>
      <xdr:rowOff>95249</xdr:rowOff>
    </xdr:to>
    <xdr:sp macro="" textlink="">
      <xdr:nvSpPr>
        <xdr:cNvPr id="10" name="テキスト ボックス 9"/>
        <xdr:cNvSpPr txBox="1"/>
      </xdr:nvSpPr>
      <xdr:spPr>
        <a:xfrm>
          <a:off x="9711417" y="0"/>
          <a:ext cx="2892879" cy="734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お使いの水道のメータ口径、使用水量は、検針時にお配りする検針票（水道使用料等のお知らせ）で確認できます。</a:t>
          </a:r>
        </a:p>
      </xdr:txBody>
    </xdr:sp>
    <xdr:clientData/>
  </xdr:twoCellAnchor>
  <xdr:twoCellAnchor>
    <xdr:from>
      <xdr:col>8</xdr:col>
      <xdr:colOff>122465</xdr:colOff>
      <xdr:row>3</xdr:row>
      <xdr:rowOff>204107</xdr:rowOff>
    </xdr:from>
    <xdr:to>
      <xdr:col>11</xdr:col>
      <xdr:colOff>81644</xdr:colOff>
      <xdr:row>8</xdr:row>
      <xdr:rowOff>244929</xdr:rowOff>
    </xdr:to>
    <xdr:cxnSp macro="">
      <xdr:nvCxnSpPr>
        <xdr:cNvPr id="13" name="カギ線コネクタ 12"/>
        <xdr:cNvCxnSpPr/>
      </xdr:nvCxnSpPr>
      <xdr:spPr>
        <a:xfrm rot="10800000">
          <a:off x="8667751" y="1034143"/>
          <a:ext cx="1796143" cy="1306286"/>
        </a:xfrm>
        <a:prstGeom prst="bentConnector3">
          <a:avLst>
            <a:gd name="adj1" fmla="val 50000"/>
          </a:avLst>
        </a:prstGeom>
        <a:ln w="25400"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693966</xdr:colOff>
      <xdr:row>5</xdr:row>
      <xdr:rowOff>204107</xdr:rowOff>
    </xdr:from>
    <xdr:to>
      <xdr:col>13</xdr:col>
      <xdr:colOff>122465</xdr:colOff>
      <xdr:row>12</xdr:row>
      <xdr:rowOff>272143</xdr:rowOff>
    </xdr:to>
    <xdr:cxnSp macro="">
      <xdr:nvCxnSpPr>
        <xdr:cNvPr id="27" name="カギ線コネクタ 26"/>
        <xdr:cNvCxnSpPr/>
      </xdr:nvCxnSpPr>
      <xdr:spPr>
        <a:xfrm rot="10800000">
          <a:off x="7851323" y="1537607"/>
          <a:ext cx="4014106" cy="2190750"/>
        </a:xfrm>
        <a:prstGeom prst="bentConnector3">
          <a:avLst>
            <a:gd name="adj1" fmla="val 63898"/>
          </a:avLst>
        </a:prstGeom>
        <a:ln w="25400"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70" zoomScaleNormal="70" workbookViewId="0">
      <selection activeCell="D4" sqref="D4:E4"/>
    </sheetView>
  </sheetViews>
  <sheetFormatPr defaultRowHeight="18.75"/>
  <cols>
    <col min="1" max="1" width="9" style="98"/>
    <col min="2" max="2" width="16.625" style="98" bestFit="1" customWidth="1"/>
    <col min="3" max="3" width="19.25" style="98" bestFit="1" customWidth="1"/>
    <col min="4" max="4" width="18.125" style="98" customWidth="1"/>
    <col min="5" max="5" width="6.375" style="98" customWidth="1"/>
    <col min="6" max="6" width="18.125" style="98" customWidth="1"/>
    <col min="7" max="7" width="6.25" style="98" customWidth="1"/>
    <col min="8" max="8" width="18.125" style="98" customWidth="1"/>
    <col min="9" max="9" width="6.25" style="98" customWidth="1"/>
    <col min="10" max="14" width="9" style="98"/>
    <col min="15" max="15" width="4.75" style="98" customWidth="1"/>
    <col min="16" max="16384" width="9" style="98"/>
  </cols>
  <sheetData>
    <row r="1" spans="1:13" ht="19.5" thickBot="1">
      <c r="A1" s="136"/>
      <c r="B1" s="136"/>
      <c r="C1" s="136"/>
      <c r="D1" s="136"/>
      <c r="E1" s="136"/>
      <c r="F1" s="136"/>
      <c r="G1" s="136"/>
      <c r="H1" s="136"/>
      <c r="I1" s="136"/>
      <c r="J1" s="139"/>
      <c r="K1" s="152"/>
      <c r="L1" s="152"/>
      <c r="M1" s="152"/>
    </row>
    <row r="2" spans="1:13" s="99" customFormat="1" ht="31.5" thickTop="1" thickBot="1">
      <c r="A2" s="137"/>
      <c r="B2" s="167" t="s">
        <v>67</v>
      </c>
      <c r="C2" s="168"/>
      <c r="D2" s="168"/>
      <c r="E2" s="168"/>
      <c r="F2" s="168"/>
      <c r="G2" s="168"/>
      <c r="H2" s="168"/>
      <c r="I2" s="169"/>
      <c r="J2" s="140"/>
      <c r="K2" s="152"/>
      <c r="L2" s="152"/>
      <c r="M2" s="152"/>
    </row>
    <row r="3" spans="1:13" ht="15" customHeight="1" thickTop="1" thickBot="1">
      <c r="A3" s="136"/>
      <c r="B3" s="143"/>
      <c r="C3" s="143"/>
      <c r="D3" s="143"/>
      <c r="E3" s="143"/>
      <c r="F3" s="143"/>
      <c r="G3" s="143"/>
      <c r="H3" s="143"/>
      <c r="I3" s="136"/>
      <c r="J3" s="139"/>
    </row>
    <row r="4" spans="1:13" s="102" customFormat="1" ht="30.75" customHeight="1" thickBot="1">
      <c r="A4" s="138"/>
      <c r="B4" s="144"/>
      <c r="C4" s="147" t="s">
        <v>64</v>
      </c>
      <c r="D4" s="177" ph="1">
        <v>13</v>
      </c>
      <c r="E4" s="178"/>
      <c r="F4" s="100" t="s">
        <v>65</v>
      </c>
      <c r="G4" s="101"/>
      <c r="H4" s="135"/>
      <c r="I4" s="134"/>
      <c r="J4" s="141"/>
    </row>
    <row r="5" spans="1:13" s="102" customFormat="1" ht="9" customHeight="1" thickBot="1">
      <c r="A5" s="138"/>
      <c r="B5" s="145"/>
      <c r="C5" s="145"/>
      <c r="D5" s="148"/>
      <c r="E5" s="148"/>
      <c r="F5" s="149"/>
      <c r="G5" s="150"/>
      <c r="H5" s="145"/>
      <c r="I5" s="138"/>
      <c r="J5" s="141"/>
    </row>
    <row r="6" spans="1:13" s="102" customFormat="1" ht="30.75" customHeight="1" thickBot="1">
      <c r="A6" s="138"/>
      <c r="B6" s="145"/>
      <c r="C6" s="147" t="s">
        <v>63</v>
      </c>
      <c r="D6" s="179">
        <v>21</v>
      </c>
      <c r="E6" s="180"/>
      <c r="F6" s="100" t="s">
        <v>66</v>
      </c>
      <c r="G6" s="101"/>
      <c r="H6" s="135"/>
      <c r="I6" s="134"/>
      <c r="J6" s="141"/>
    </row>
    <row r="7" spans="1:13" ht="15" customHeight="1">
      <c r="A7" s="136"/>
      <c r="B7" s="143"/>
      <c r="C7" s="143"/>
      <c r="D7" s="151"/>
      <c r="E7" s="151"/>
      <c r="F7" s="143"/>
      <c r="G7" s="143"/>
      <c r="H7" s="143"/>
      <c r="I7" s="136"/>
      <c r="J7" s="139"/>
    </row>
    <row r="8" spans="1:13" ht="14.25" customHeight="1" thickBot="1">
      <c r="A8" s="136"/>
      <c r="B8" s="136"/>
      <c r="C8" s="143"/>
      <c r="D8" s="143"/>
      <c r="E8" s="151"/>
      <c r="F8" s="151"/>
      <c r="G8" s="143"/>
      <c r="H8" s="170" t="s">
        <v>62</v>
      </c>
      <c r="I8" s="170"/>
      <c r="J8" s="136"/>
    </row>
    <row r="9" spans="1:13" ht="26.25" customHeight="1" thickBot="1">
      <c r="A9" s="139"/>
      <c r="B9" s="146"/>
      <c r="C9" s="103"/>
      <c r="D9" s="171" t="s">
        <v>61</v>
      </c>
      <c r="E9" s="172"/>
      <c r="F9" s="173" t="s">
        <v>60</v>
      </c>
      <c r="G9" s="174"/>
      <c r="H9" s="175" t="s">
        <v>59</v>
      </c>
      <c r="I9" s="176"/>
      <c r="J9" s="139"/>
    </row>
    <row r="10" spans="1:13" ht="26.25" customHeight="1">
      <c r="A10" s="139"/>
      <c r="B10" s="153" t="s">
        <v>58</v>
      </c>
      <c r="C10" s="104" t="s">
        <v>55</v>
      </c>
      <c r="D10" s="105">
        <f>入力画面!K18</f>
        <v>1980</v>
      </c>
      <c r="E10" s="106" t="s">
        <v>49</v>
      </c>
      <c r="F10" s="107">
        <f>入力画面!G18</f>
        <v>2276</v>
      </c>
      <c r="G10" s="108" t="s">
        <v>49</v>
      </c>
      <c r="H10" s="109">
        <f>F10-D10</f>
        <v>296</v>
      </c>
      <c r="I10" s="108" t="s">
        <v>49</v>
      </c>
      <c r="J10" s="139"/>
    </row>
    <row r="11" spans="1:13" ht="26.25" customHeight="1">
      <c r="A11" s="139"/>
      <c r="B11" s="154"/>
      <c r="C11" s="110" t="s">
        <v>53</v>
      </c>
      <c r="D11" s="111">
        <f>入力画面!K30</f>
        <v>125</v>
      </c>
      <c r="E11" s="112" t="s">
        <v>49</v>
      </c>
      <c r="F11" s="113">
        <f>入力画面!G30</f>
        <v>143</v>
      </c>
      <c r="G11" s="114" t="s">
        <v>49</v>
      </c>
      <c r="H11" s="115">
        <f>F11-D11</f>
        <v>18</v>
      </c>
      <c r="I11" s="114" t="s">
        <v>49</v>
      </c>
      <c r="J11" s="139"/>
    </row>
    <row r="12" spans="1:13" ht="26.25" customHeight="1" thickBot="1">
      <c r="A12" s="139"/>
      <c r="B12" s="154"/>
      <c r="C12" s="116" t="s">
        <v>68</v>
      </c>
      <c r="D12" s="117">
        <f>ROUNDDOWN((D10+D11)*0.1,0)</f>
        <v>210</v>
      </c>
      <c r="E12" s="118" t="s">
        <v>52</v>
      </c>
      <c r="F12" s="119">
        <f>ROUNDDOWN((F10+F11)*0.1,0)</f>
        <v>241</v>
      </c>
      <c r="G12" s="120" t="s">
        <v>49</v>
      </c>
      <c r="H12" s="121">
        <f>F12-D12</f>
        <v>31</v>
      </c>
      <c r="I12" s="120" t="s">
        <v>49</v>
      </c>
      <c r="J12" s="139"/>
    </row>
    <row r="13" spans="1:13" ht="26.25" customHeight="1" thickTop="1" thickBot="1">
      <c r="A13" s="139"/>
      <c r="B13" s="155"/>
      <c r="C13" s="128" t="s">
        <v>57</v>
      </c>
      <c r="D13" s="129">
        <f>SUM(D10:D12)</f>
        <v>2315</v>
      </c>
      <c r="E13" s="130" t="s">
        <v>49</v>
      </c>
      <c r="F13" s="131">
        <f>SUM(F10:F12)</f>
        <v>2660</v>
      </c>
      <c r="G13" s="132" t="s">
        <v>49</v>
      </c>
      <c r="H13" s="133">
        <f>SUM(H10:H12)</f>
        <v>345</v>
      </c>
      <c r="I13" s="132" t="s">
        <v>49</v>
      </c>
      <c r="J13" s="139"/>
    </row>
    <row r="14" spans="1:13" ht="26.25" customHeight="1">
      <c r="A14" s="136"/>
      <c r="B14" s="156" t="s">
        <v>56</v>
      </c>
      <c r="C14" s="104" t="s">
        <v>55</v>
      </c>
      <c r="D14" s="105">
        <f>下水料金!$C$2</f>
        <v>2180</v>
      </c>
      <c r="E14" s="106" t="s">
        <v>49</v>
      </c>
      <c r="F14" s="107">
        <f>下水料金!$C$2</f>
        <v>2180</v>
      </c>
      <c r="G14" s="108" t="s">
        <v>49</v>
      </c>
      <c r="H14" s="159" t="s">
        <v>54</v>
      </c>
      <c r="I14" s="160"/>
      <c r="J14" s="139"/>
    </row>
    <row r="15" spans="1:13" ht="26.25" customHeight="1">
      <c r="A15" s="139"/>
      <c r="B15" s="157"/>
      <c r="C15" s="110" t="s">
        <v>53</v>
      </c>
      <c r="D15" s="111">
        <f>下水料金!$C$12</f>
        <v>120</v>
      </c>
      <c r="E15" s="112" t="s">
        <v>49</v>
      </c>
      <c r="F15" s="113">
        <f>下水料金!$C$12</f>
        <v>120</v>
      </c>
      <c r="G15" s="114" t="s">
        <v>49</v>
      </c>
      <c r="H15" s="161"/>
      <c r="I15" s="162"/>
      <c r="J15" s="139"/>
    </row>
    <row r="16" spans="1:13" ht="26.25" customHeight="1" thickBot="1">
      <c r="A16" s="139"/>
      <c r="B16" s="157"/>
      <c r="C16" s="116" t="s">
        <v>68</v>
      </c>
      <c r="D16" s="117">
        <f>下水料金!C16</f>
        <v>230</v>
      </c>
      <c r="E16" s="118" t="s">
        <v>52</v>
      </c>
      <c r="F16" s="119">
        <f>ROUNDDOWN((F14+F15)*0.1,0)</f>
        <v>230</v>
      </c>
      <c r="G16" s="120" t="s">
        <v>49</v>
      </c>
      <c r="H16" s="163"/>
      <c r="I16" s="164"/>
      <c r="J16" s="139"/>
    </row>
    <row r="17" spans="1:10" ht="26.25" customHeight="1" thickTop="1" thickBot="1">
      <c r="A17" s="139"/>
      <c r="B17" s="158"/>
      <c r="C17" s="97" t="s">
        <v>51</v>
      </c>
      <c r="D17" s="96">
        <f>下水料金!$C$19</f>
        <v>2530</v>
      </c>
      <c r="E17" s="95" t="s">
        <v>49</v>
      </c>
      <c r="F17" s="94">
        <f>下水料金!$C$19</f>
        <v>2530</v>
      </c>
      <c r="G17" s="92" t="s">
        <v>49</v>
      </c>
      <c r="H17" s="93">
        <f>SUM(H14:H16)</f>
        <v>0</v>
      </c>
      <c r="I17" s="92" t="s">
        <v>49</v>
      </c>
      <c r="J17" s="139"/>
    </row>
    <row r="18" spans="1:10" ht="26.25" customHeight="1" thickBot="1">
      <c r="A18" s="139"/>
      <c r="B18" s="165" t="s">
        <v>50</v>
      </c>
      <c r="C18" s="166"/>
      <c r="D18" s="122">
        <f>D13+D17</f>
        <v>4845</v>
      </c>
      <c r="E18" s="123" t="s">
        <v>49</v>
      </c>
      <c r="F18" s="124">
        <f>F13+F17</f>
        <v>5190</v>
      </c>
      <c r="G18" s="125" t="s">
        <v>49</v>
      </c>
      <c r="H18" s="126">
        <f>F18-D18</f>
        <v>345</v>
      </c>
      <c r="I18" s="127" t="s">
        <v>49</v>
      </c>
      <c r="J18" s="139"/>
    </row>
    <row r="19" spans="1:10">
      <c r="A19" s="139"/>
      <c r="B19" s="142" t="s">
        <v>48</v>
      </c>
      <c r="C19" s="139"/>
      <c r="D19" s="139"/>
      <c r="E19" s="139"/>
      <c r="F19" s="139"/>
      <c r="G19" s="139"/>
      <c r="H19" s="139"/>
      <c r="I19" s="139"/>
      <c r="J19" s="139"/>
    </row>
    <row r="20" spans="1:10">
      <c r="A20" s="139"/>
      <c r="B20" s="139"/>
      <c r="C20" s="139"/>
      <c r="D20" s="139"/>
      <c r="E20" s="139"/>
      <c r="F20" s="139"/>
      <c r="G20" s="139"/>
      <c r="H20" s="139"/>
      <c r="I20" s="139"/>
      <c r="J20" s="139"/>
    </row>
  </sheetData>
  <sheetProtection algorithmName="SHA-512" hashValue="KGd2ZODGL7CefPuVE9MBTlmv7iSDVf2Ms7uUF0gpGLqbaoEdxwPl4S63sPeblAtu4YDiUqriDGsVTYCHWuPPaw==" saltValue="u2g30lr67I1hdwLFD7qDhw==" spinCount="100000" sheet="1" formatCells="0" formatColumns="0" formatRows="0" insertColumns="0" insertRows="0" insertHyperlinks="0" deleteColumns="0" deleteRows="0"/>
  <mergeCells count="12">
    <mergeCell ref="K1:M2"/>
    <mergeCell ref="B10:B13"/>
    <mergeCell ref="B14:B17"/>
    <mergeCell ref="H14:I16"/>
    <mergeCell ref="B18:C18"/>
    <mergeCell ref="B2:I2"/>
    <mergeCell ref="H8:I8"/>
    <mergeCell ref="D9:E9"/>
    <mergeCell ref="F9:G9"/>
    <mergeCell ref="H9:I9"/>
    <mergeCell ref="D4:E4"/>
    <mergeCell ref="D6:E6"/>
  </mergeCells>
  <phoneticPr fontId="5"/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上水基本ＴＢＬ改定後!$A$3:$A$11</xm:f>
          </x14:formula1>
          <xm:sqref>D4:E4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E22" zoomScale="150" zoomScaleNormal="150" workbookViewId="0">
      <selection activeCell="K31" sqref="K31"/>
    </sheetView>
  </sheetViews>
  <sheetFormatPr defaultRowHeight="13.5"/>
  <cols>
    <col min="1" max="1" width="3.125" style="1" customWidth="1"/>
    <col min="2" max="2" width="9.75" style="1" customWidth="1"/>
    <col min="3" max="3" width="11" style="1" bestFit="1" customWidth="1"/>
    <col min="4" max="4" width="9" style="1" bestFit="1" customWidth="1"/>
    <col min="5" max="5" width="20.25" style="1" bestFit="1" customWidth="1"/>
    <col min="6" max="6" width="11.125" style="1" customWidth="1"/>
    <col min="7" max="7" width="11.625" style="1" customWidth="1"/>
    <col min="8" max="8" width="1.875" style="1" customWidth="1"/>
    <col min="9" max="9" width="20.25" style="1" bestFit="1" customWidth="1"/>
    <col min="10" max="10" width="9" style="1"/>
    <col min="11" max="11" width="11.5" style="1" bestFit="1" customWidth="1"/>
    <col min="12" max="16384" width="9" style="1"/>
  </cols>
  <sheetData>
    <row r="1" spans="1:9" ht="15" thickTop="1" thickBot="1">
      <c r="A1" s="21"/>
      <c r="B1" s="190" t="s">
        <v>47</v>
      </c>
      <c r="C1" s="191"/>
      <c r="D1" s="192"/>
      <c r="E1" s="21"/>
    </row>
    <row r="2" spans="1:9" ht="14.25" thickBot="1">
      <c r="A2" s="21"/>
      <c r="B2" s="91" t="s">
        <v>46</v>
      </c>
      <c r="C2" s="90" t="s">
        <v>45</v>
      </c>
      <c r="D2" s="90" t="s">
        <v>44</v>
      </c>
      <c r="E2" s="21"/>
    </row>
    <row r="3" spans="1:9" ht="14.25" thickBot="1">
      <c r="A3" s="21"/>
      <c r="B3" s="89">
        <v>45078</v>
      </c>
      <c r="C3" s="88">
        <v>45138</v>
      </c>
      <c r="D3" s="87">
        <f>DATEDIF(入力画面!B3, 入力画面!C3, "D")</f>
        <v>60</v>
      </c>
      <c r="E3" s="21"/>
    </row>
    <row r="4" spans="1:9" ht="15" thickTop="1" thickBot="1">
      <c r="A4" s="21"/>
      <c r="B4" s="21"/>
      <c r="C4" s="21"/>
      <c r="D4" s="21"/>
      <c r="E4" s="21"/>
      <c r="F4" s="21"/>
      <c r="G4" s="21"/>
    </row>
    <row r="5" spans="1:9" ht="15" thickTop="1" thickBot="1">
      <c r="A5" s="181" t="s">
        <v>43</v>
      </c>
      <c r="B5" s="86" t="s">
        <v>19</v>
      </c>
      <c r="C5" s="85">
        <f>水道料金比較!D4</f>
        <v>13</v>
      </c>
      <c r="D5" s="21"/>
      <c r="E5" s="194" t="s">
        <v>42</v>
      </c>
      <c r="F5" s="195"/>
      <c r="G5" s="84"/>
    </row>
    <row r="6" spans="1:9" ht="15" thickTop="1" thickBot="1">
      <c r="A6" s="182"/>
      <c r="B6" s="185" t="s">
        <v>41</v>
      </c>
      <c r="C6" s="193">
        <v>2</v>
      </c>
      <c r="D6" s="83"/>
      <c r="E6" s="82" t="s">
        <v>40</v>
      </c>
      <c r="F6" s="81">
        <f>IF(入力画面!D3&gt;=45,2,1)</f>
        <v>2</v>
      </c>
      <c r="G6" s="21"/>
    </row>
    <row r="7" spans="1:9" ht="14.25" thickBot="1">
      <c r="A7" s="182"/>
      <c r="B7" s="185"/>
      <c r="C7" s="193"/>
      <c r="D7" s="21"/>
      <c r="E7" s="68" t="s">
        <v>39</v>
      </c>
      <c r="F7" s="80">
        <f>IF(入力画面!D3&gt;=31,2,1)</f>
        <v>2</v>
      </c>
      <c r="G7" s="21"/>
    </row>
    <row r="8" spans="1:9" ht="14.25" thickBot="1">
      <c r="A8" s="182"/>
      <c r="B8" s="76" t="s">
        <v>37</v>
      </c>
      <c r="C8" s="79">
        <v>1</v>
      </c>
      <c r="D8" s="21"/>
      <c r="E8" s="78" t="s">
        <v>19</v>
      </c>
      <c r="F8" s="77">
        <f>IF(AND(入力画面!C6=1,入力画面!C8&gt;1),13,入力画面!C5)</f>
        <v>13</v>
      </c>
      <c r="G8" s="21"/>
    </row>
    <row r="9" spans="1:9" ht="14.25" thickBot="1">
      <c r="A9" s="182"/>
      <c r="B9" s="76" t="s">
        <v>12</v>
      </c>
      <c r="C9" s="75">
        <f>水道料金比較!D6</f>
        <v>21</v>
      </c>
      <c r="D9" s="21"/>
      <c r="E9" s="68" t="s">
        <v>38</v>
      </c>
      <c r="F9" s="70" t="str">
        <f>IF(入力画面!C6=1,"ＹＥＳ",IF(入力画面!C6=2,"ＮＯ","入力エラー"))</f>
        <v>ＮＯ</v>
      </c>
      <c r="G9" s="21"/>
    </row>
    <row r="10" spans="1:9" ht="15" customHeight="1" thickBot="1">
      <c r="A10" s="183"/>
      <c r="B10" s="74" t="s">
        <v>30</v>
      </c>
      <c r="C10" s="73">
        <v>10</v>
      </c>
      <c r="D10" s="21"/>
      <c r="E10" s="68" t="s">
        <v>37</v>
      </c>
      <c r="F10" s="72">
        <f>IF(入力画面!C8&lt;=1,1,入力画面!C8)</f>
        <v>1</v>
      </c>
      <c r="G10" s="21"/>
    </row>
    <row r="11" spans="1:9" ht="15" thickTop="1" thickBot="1">
      <c r="A11" s="181" t="s">
        <v>36</v>
      </c>
      <c r="B11" s="184" t="s">
        <v>35</v>
      </c>
      <c r="C11" s="186"/>
      <c r="D11" s="21"/>
      <c r="E11" s="68" t="s">
        <v>12</v>
      </c>
      <c r="F11" s="71">
        <f>入力画面!C9</f>
        <v>21</v>
      </c>
      <c r="G11" s="21"/>
    </row>
    <row r="12" spans="1:9" ht="14.25" thickBot="1">
      <c r="A12" s="182"/>
      <c r="B12" s="185"/>
      <c r="C12" s="187"/>
      <c r="D12" s="21"/>
      <c r="E12" s="68" t="s">
        <v>34</v>
      </c>
      <c r="F12" s="70" t="str">
        <f>IF(入力画面!C13=1,"ＮＯ",IF(入力画面!C13=2,"ＹＥＳ","入力エラー"))</f>
        <v>ＮＯ</v>
      </c>
      <c r="G12" s="69"/>
    </row>
    <row r="13" spans="1:9">
      <c r="A13" s="182"/>
      <c r="B13" s="188" t="s">
        <v>33</v>
      </c>
      <c r="C13" s="196">
        <v>1</v>
      </c>
      <c r="D13" s="21"/>
      <c r="E13" s="68" t="s">
        <v>32</v>
      </c>
      <c r="F13" s="67">
        <f>入力画面!C10/100</f>
        <v>0.1</v>
      </c>
      <c r="G13" s="21"/>
    </row>
    <row r="14" spans="1:9" ht="14.25" thickBot="1">
      <c r="A14" s="182"/>
      <c r="B14" s="189"/>
      <c r="C14" s="197"/>
      <c r="D14" s="21"/>
      <c r="E14" s="66" t="s">
        <v>31</v>
      </c>
      <c r="F14" s="65">
        <f>入力画面!C16/100</f>
        <v>0.1</v>
      </c>
      <c r="G14" s="21"/>
    </row>
    <row r="15" spans="1:9" ht="15" thickTop="1" thickBot="1">
      <c r="A15" s="182"/>
      <c r="B15" s="189"/>
      <c r="C15" s="197"/>
      <c r="D15" s="21"/>
      <c r="E15" s="21"/>
      <c r="F15" s="21"/>
      <c r="G15" s="21"/>
    </row>
    <row r="16" spans="1:9" ht="14.25" thickBot="1">
      <c r="A16" s="183"/>
      <c r="B16" s="64" t="s">
        <v>30</v>
      </c>
      <c r="C16" s="63">
        <v>10</v>
      </c>
      <c r="D16" s="21"/>
      <c r="E16" s="58" t="s">
        <v>29</v>
      </c>
      <c r="F16" s="21"/>
      <c r="G16" s="21"/>
      <c r="I16" s="1" t="s">
        <v>28</v>
      </c>
    </row>
    <row r="17" spans="1:11" ht="14.25" thickTop="1">
      <c r="A17" s="62"/>
      <c r="B17" s="21"/>
      <c r="C17" s="21"/>
      <c r="D17" s="21"/>
      <c r="E17" s="61" t="s">
        <v>14</v>
      </c>
      <c r="F17" s="60"/>
      <c r="G17" s="59"/>
      <c r="I17" s="61" t="s">
        <v>14</v>
      </c>
      <c r="J17" s="60"/>
      <c r="K17" s="59"/>
    </row>
    <row r="18" spans="1:11">
      <c r="A18" s="58"/>
      <c r="B18" s="21"/>
      <c r="C18" s="21"/>
      <c r="D18" s="21"/>
      <c r="E18" s="47" t="s">
        <v>13</v>
      </c>
      <c r="F18" s="46"/>
      <c r="G18" s="45">
        <f>IF(AND(入力画面!$C$6=1, 入力画面!$C$8 &gt; 1), 上水基本ＴＢＬ改定後!$B$3*入力画面!$C$8*入力画面!$F$6, IF( OR(入力画面!$C$6 = 1, 入力画面!$C$6 = 2),上水基本ＴＢＬ改定後!$F$2*入力画面!$C$8*入力画面!$F$6,"入力エラー"))</f>
        <v>2276</v>
      </c>
      <c r="I18" s="47" t="s">
        <v>13</v>
      </c>
      <c r="J18" s="46"/>
      <c r="K18" s="45">
        <f>IF(AND(入力画面!$C$6=1, 入力画面!$C$8 &gt; 1), 上水基本ＴＢＬ改定前!$B$3*入力画面!$C$8*入力画面!$F$6, IF( OR(入力画面!$C$6 = 1, 入力画面!$C$6 = 2),上水基本ＴＢＬ改定前!$F$2*入力画面!$C$8*入力画面!$F$6,"入力エラー"))</f>
        <v>1980</v>
      </c>
    </row>
    <row r="19" spans="1:11">
      <c r="E19" s="47" t="s">
        <v>12</v>
      </c>
      <c r="F19" s="57">
        <f>入力画面!$F$11</f>
        <v>21</v>
      </c>
      <c r="G19" s="50"/>
      <c r="I19" s="47" t="s">
        <v>12</v>
      </c>
      <c r="J19" s="57">
        <f>入力画面!$F$11</f>
        <v>21</v>
      </c>
      <c r="K19" s="50"/>
    </row>
    <row r="20" spans="1:11">
      <c r="E20" s="47" t="s">
        <v>11</v>
      </c>
      <c r="F20" s="53">
        <f>下水基本ＴＢＬ!$D$3*入力画面!$F$10*入力画面!$F$6</f>
        <v>20</v>
      </c>
      <c r="G20" s="50"/>
      <c r="I20" s="47" t="s">
        <v>11</v>
      </c>
      <c r="J20" s="53">
        <f>下水基本ＴＢＬ!$D$3*入力画面!$F$10*入力画面!$F$6</f>
        <v>20</v>
      </c>
      <c r="K20" s="50"/>
    </row>
    <row r="21" spans="1:11">
      <c r="E21" s="47"/>
      <c r="F21" s="46"/>
      <c r="G21" s="50"/>
      <c r="I21" s="47"/>
      <c r="J21" s="46"/>
      <c r="K21" s="50"/>
    </row>
    <row r="22" spans="1:11">
      <c r="E22" s="47" t="s">
        <v>10</v>
      </c>
      <c r="F22" s="56">
        <f>IF(入力画面!$F$11 &lt;= 上水基本ＴＢＬ改定後!$D$3*入力画面!$F$10*入力画面!$F$6,0, IF(入力画面!$F$11 &lt;= 上水基本ＴＢＬ改定後!$D$4*入力画面!$F$10 *入力画面!$F$6, 入力画面!$F$11-上水基本ＴＢＬ改定後!$D$3*入力画面!$F$10*入力画面!$F$6, 上水基本ＴＢＬ改定後!$D$4*入力画面!$F$10*入力画面!$F$6-上水基本ＴＢＬ改定後!$D$3*入力画面!$F$10*入力画面!$F$6))</f>
        <v>1</v>
      </c>
      <c r="G22" s="50">
        <f>F22*上水基本ＴＢＬ改定後!$E$4</f>
        <v>143</v>
      </c>
      <c r="I22" s="47" t="s">
        <v>10</v>
      </c>
      <c r="J22" s="56">
        <f>IF(入力画面!$F$11 &lt;= 上水基本ＴＢＬ改定前!$D$3*入力画面!$F$10*入力画面!$F$6,0, IF(入力画面!$F$11 &lt;= 上水基本ＴＢＬ改定前!$D$4*入力画面!$F$10 *入力画面!$F$6, 入力画面!$F$11-上水基本ＴＢＬ改定前!$D$3*入力画面!$F$10*入力画面!$F$6, 上水基本ＴＢＬ改定前!$D$4*入力画面!$F$10*入力画面!$F$6-上水基本ＴＢＬ改定前!$D$3*入力画面!$F$10*入力画面!$F$6))</f>
        <v>1</v>
      </c>
      <c r="K22" s="50">
        <f>J22*上水基本ＴＢＬ改定前!$E$4</f>
        <v>125</v>
      </c>
    </row>
    <row r="23" spans="1:11">
      <c r="E23" s="47" t="s">
        <v>9</v>
      </c>
      <c r="F23" s="56">
        <f>IF(入力画面!$F$11 &lt;= 上水基本ＴＢＬ改定後!$D$4*入力画面!$F$10*入力画面!$F$6, 0, IF(入力画面!$F$11 &lt;= 上水基本ＴＢＬ改定後!$D$5*入力画面!$F$10*入力画面!$F$6, 入力画面!$F$11-上水基本ＴＢＬ改定後!$D$4*入力画面!$F$10*入力画面!$F$6, 上水基本ＴＢＬ改定後!$D$5*入力画面!$F$10*入力画面!$F$6-上水基本ＴＢＬ改定後!$D$4*入力画面!$F$10*入力画面!$F$6))</f>
        <v>0</v>
      </c>
      <c r="G23" s="50">
        <f>F23*上水基本ＴＢＬ改定後!$E$5</f>
        <v>0</v>
      </c>
      <c r="I23" s="47" t="s">
        <v>9</v>
      </c>
      <c r="J23" s="56">
        <f>IF(入力画面!$F$11 &lt;= 上水基本ＴＢＬ改定前!$D$4*入力画面!$F$10*入力画面!$F$6, 0, IF(入力画面!$F$11 &lt;= 上水基本ＴＢＬ改定前!$D$5*入力画面!$F$10*入力画面!$F$6, 入力画面!$F$11-上水基本ＴＢＬ改定前!$D$4*入力画面!$F$10*入力画面!$F$6, 上水基本ＴＢＬ改定前!$D$5*入力画面!$F$10*入力画面!$F$6-上水基本ＴＢＬ改定前!$D$4*入力画面!$F$10*入力画面!$F$6))</f>
        <v>0</v>
      </c>
      <c r="K23" s="50">
        <f>J23*上水基本ＴＢＬ改定前!$E$5</f>
        <v>0</v>
      </c>
    </row>
    <row r="24" spans="1:11">
      <c r="E24" s="47" t="s">
        <v>8</v>
      </c>
      <c r="F24" s="56">
        <f>IF(入力画面!$F$11 &lt;= 上水基本ＴＢＬ改定後!$D$5*入力画面!$F$10*入力画面!$F$6,0, IF(入力画面!$F$11 &lt;= 上水基本ＴＢＬ改定後!$D$6*入力画面!$F$10*入力画面!$F$6, 入力画面!$F$11-上水基本ＴＢＬ改定後!$D$5*入力画面!$F$10*入力画面!$F$6, 上水基本ＴＢＬ改定後!$D$6*入力画面!$F$10*入力画面!$F$6-上水基本ＴＢＬ改定後!$D$5*入力画面!$F$10*入力画面!$F$6))</f>
        <v>0</v>
      </c>
      <c r="G24" s="50">
        <f>F24*上水基本ＴＢＬ改定後!$E$6</f>
        <v>0</v>
      </c>
      <c r="I24" s="47" t="s">
        <v>8</v>
      </c>
      <c r="J24" s="56">
        <f>IF(入力画面!$F$11 &lt;= 上水基本ＴＢＬ改定前!$D$5*入力画面!$F$10*入力画面!$F$6,0, IF(入力画面!$F$11 &lt;= 上水基本ＴＢＬ改定前!$D$6*入力画面!$F$10*入力画面!$F$6, 入力画面!$F$11-上水基本ＴＢＬ改定前!$D$5*入力画面!$F$10*入力画面!$F$6, 上水基本ＴＢＬ改定前!$D$6*入力画面!$F$10*入力画面!$F$6-上水基本ＴＢＬ改定前!$D$5*入力画面!$F$10*入力画面!$F$6))</f>
        <v>0</v>
      </c>
      <c r="K24" s="50">
        <f>J24*上水基本ＴＢＬ改定前!$E$6</f>
        <v>0</v>
      </c>
    </row>
    <row r="25" spans="1:11">
      <c r="E25" s="47" t="s">
        <v>7</v>
      </c>
      <c r="F25" s="56">
        <f>IF(入力画面!$F$11 &lt;= 上水基本ＴＢＬ改定後!$D$6*入力画面!$F$10*入力画面!$F$6,0, IF(入力画面!$F$11 &lt; 上水基本ＴＢＬ改定後!$D$7*入力画面!$F$10*入力画面!$F$6, 入力画面!$F$11-上水基本ＴＢＬ改定後!$D$6*入力画面!$F$10*入力画面!$F$6, 上水基本ＴＢＬ改定後!$D$7*入力画面!$F$10*入力画面!$F$6-上水基本ＴＢＬ改定後!$D$6*入力画面!$F$10*入力画面!$F$6))</f>
        <v>0</v>
      </c>
      <c r="G25" s="50">
        <f>F25*上水基本ＴＢＬ改定後!$E$7</f>
        <v>0</v>
      </c>
      <c r="I25" s="47" t="s">
        <v>7</v>
      </c>
      <c r="J25" s="56">
        <f>IF(入力画面!$F$11 &lt;= 上水基本ＴＢＬ改定前!$D$6*入力画面!$F$10*入力画面!$F$6,0, IF(入力画面!$F$11 &lt; 上水基本ＴＢＬ改定前!$D$7*入力画面!$F$10*入力画面!$F$6, 入力画面!$F$11-上水基本ＴＢＬ改定前!$D$6*入力画面!$F$10*入力画面!$F$6, 上水基本ＴＢＬ改定前!$D$7*入力画面!$F$10*入力画面!$F$6-上水基本ＴＢＬ改定前!$D$6*入力画面!$F$10*入力画面!$F$6))</f>
        <v>0</v>
      </c>
      <c r="K25" s="50">
        <f>J25*上水基本ＴＢＬ改定前!$E$7</f>
        <v>0</v>
      </c>
    </row>
    <row r="26" spans="1:11">
      <c r="E26" s="47" t="s">
        <v>6</v>
      </c>
      <c r="F26" s="56">
        <f>IF(入力画面!$F$11 &lt;= 上水基本ＴＢＬ改定後!$D$7*入力画面!$F$10*入力画面!$F$6,0, IF(入力画面!$F$11 &lt;= 上水基本ＴＢＬ改定後!$D$8*入力画面!$F$10*入力画面!$F$6, 入力画面!$F$11-上水基本ＴＢＬ改定後!$D$7*入力画面!$F$10*入力画面!$F$6, 上水基本ＴＢＬ改定後!$D$8*入力画面!$F$10*入力画面!$F$6-上水基本ＴＢＬ改定後!$D$7*入力画面!$F$10*入力画面!$F$6))</f>
        <v>0</v>
      </c>
      <c r="G26" s="50">
        <f>F26*上水基本ＴＢＬ改定後!$E$8</f>
        <v>0</v>
      </c>
      <c r="I26" s="47" t="s">
        <v>6</v>
      </c>
      <c r="J26" s="56">
        <f>IF(入力画面!$F$11 &lt;= 上水基本ＴＢＬ改定前!$D$7*入力画面!$F$10*入力画面!$F$6,0, IF(入力画面!$F$11 &lt;= 上水基本ＴＢＬ改定前!$D$8*入力画面!$F$10*入力画面!$F$6, 入力画面!$F$11-上水基本ＴＢＬ改定前!$D$7*入力画面!$F$10*入力画面!$F$6, 上水基本ＴＢＬ改定前!$D$8*入力画面!$F$10*入力画面!$F$6-上水基本ＴＢＬ改定前!$D$7*入力画面!$F$10*入力画面!$F$6))</f>
        <v>0</v>
      </c>
      <c r="K26" s="50">
        <f>J26*上水基本ＴＢＬ改定前!$E$8</f>
        <v>0</v>
      </c>
    </row>
    <row r="27" spans="1:11">
      <c r="E27" s="47" t="s">
        <v>27</v>
      </c>
      <c r="F27" s="56">
        <f>IF(入力画面!$F$11 &lt;= 上水基本ＴＢＬ改定後!$D$8*入力画面!$F$10*入力画面!$F$6,0, IF(入力画面!$F$11 &lt;= 上水基本ＴＢＬ改定後!$D$9*入力画面!$F$10*入力画面!$F$6, 入力画面!$F$11-上水基本ＴＢＬ改定後!$D$8*入力画面!$F$10*入力画面!$F$6, 上水基本ＴＢＬ改定後!$D$9*入力画面!$F$10*入力画面!$F$6-上水基本ＴＢＬ改定後!$D$8*入力画面!$F$10*入力画面!$F$6))</f>
        <v>0</v>
      </c>
      <c r="G27" s="50">
        <f>F27*上水基本ＴＢＬ改定後!$E$9</f>
        <v>0</v>
      </c>
      <c r="I27" s="47" t="s">
        <v>27</v>
      </c>
      <c r="J27" s="56">
        <f>IF(入力画面!$F$11 &lt;= 上水基本ＴＢＬ改定前!$D$8*入力画面!$F$10*入力画面!$F$6,0, IF(入力画面!$F$11 &lt;= 上水基本ＴＢＬ改定前!$D$9*入力画面!$F$10*入力画面!$F$6, 入力画面!$F$11-上水基本ＴＢＬ改定前!$D$8*入力画面!$F$10*入力画面!$F$6, 上水基本ＴＢＬ改定前!$D$9*入力画面!$F$10*入力画面!$F$6-上水基本ＴＢＬ改定前!$D$8*入力画面!$F$10*入力画面!$F$6))</f>
        <v>0</v>
      </c>
      <c r="K27" s="50">
        <f>J27*上水基本ＴＢＬ改定前!$E$9</f>
        <v>0</v>
      </c>
    </row>
    <row r="28" spans="1:11">
      <c r="E28" s="47" t="s">
        <v>26</v>
      </c>
      <c r="F28" s="56">
        <f>IF(入力画面!$F$11 &lt; 上水基本ＴＢＬ改定後!$D$9*入力画面!$F$10*入力画面!$F$6,0, 入力画面!$F$11-上水基本ＴＢＬ改定後!$D$9*入力画面!$F$10*入力画面!$F$6)</f>
        <v>0</v>
      </c>
      <c r="G28" s="50">
        <f>F28*上水基本ＴＢＬ改定後!$E$10</f>
        <v>0</v>
      </c>
      <c r="I28" s="47" t="s">
        <v>26</v>
      </c>
      <c r="J28" s="56">
        <f>IF(入力画面!$F$11 &lt; 上水基本ＴＢＬ改定前!$D$9*入力画面!$F$10*入力画面!$F$6,0, 入力画面!$F$11-上水基本ＴＢＬ改定前!$D$9*入力画面!$F$10*入力画面!$F$6)</f>
        <v>0</v>
      </c>
      <c r="K28" s="50">
        <f>J28*上水基本ＴＢＬ改定前!$E$10</f>
        <v>0</v>
      </c>
    </row>
    <row r="29" spans="1:11">
      <c r="E29" s="55"/>
      <c r="F29" s="54"/>
      <c r="G29" s="50"/>
      <c r="I29" s="55"/>
      <c r="J29" s="54"/>
      <c r="K29" s="50"/>
    </row>
    <row r="30" spans="1:11" ht="14.25" thickBot="1">
      <c r="E30" s="47" t="s">
        <v>25</v>
      </c>
      <c r="F30" s="53">
        <f>SUM(F22:F28)</f>
        <v>1</v>
      </c>
      <c r="G30" s="45">
        <f>SUM(G22:G28)</f>
        <v>143</v>
      </c>
      <c r="I30" s="47" t="s">
        <v>25</v>
      </c>
      <c r="J30" s="53">
        <f>SUM(J22:J28)</f>
        <v>1</v>
      </c>
      <c r="K30" s="45">
        <f>SUM(K22:K28)</f>
        <v>125</v>
      </c>
    </row>
    <row r="31" spans="1:11" ht="14.25" thickTop="1">
      <c r="B31" s="52" t="s">
        <v>24</v>
      </c>
      <c r="C31" s="51">
        <f>G34</f>
        <v>2660</v>
      </c>
      <c r="E31" s="47" t="s">
        <v>3</v>
      </c>
      <c r="F31" s="46"/>
      <c r="G31" s="50">
        <f>SUM(G18,G22:G28)</f>
        <v>2419</v>
      </c>
      <c r="I31" s="47" t="s">
        <v>3</v>
      </c>
      <c r="J31" s="46"/>
      <c r="K31" s="50">
        <f>SUM(K18,K22:K28)</f>
        <v>2105</v>
      </c>
    </row>
    <row r="32" spans="1:11" ht="14.25" thickBot="1">
      <c r="B32" s="49" t="s">
        <v>23</v>
      </c>
      <c r="C32" s="48">
        <f>下水料金!C19</f>
        <v>2530</v>
      </c>
      <c r="E32" s="47" t="s">
        <v>2</v>
      </c>
      <c r="F32" s="46"/>
      <c r="G32" s="45">
        <f>ROUNDDOWN(G31*入力画面!$F$13,0)</f>
        <v>241</v>
      </c>
      <c r="I32" s="47" t="s">
        <v>2</v>
      </c>
      <c r="J32" s="46"/>
      <c r="K32" s="45">
        <f>ROUNDDOWN(K31*入力画面!$F$13,0)</f>
        <v>210</v>
      </c>
    </row>
    <row r="33" spans="2:11" ht="15" thickTop="1" thickBot="1">
      <c r="B33" s="44" t="s">
        <v>22</v>
      </c>
      <c r="C33" s="43">
        <f>SUM(C31:C32)</f>
        <v>5190</v>
      </c>
      <c r="E33" s="42"/>
      <c r="F33" s="41"/>
      <c r="G33" s="40"/>
      <c r="I33" s="42"/>
      <c r="J33" s="41"/>
      <c r="K33" s="40"/>
    </row>
    <row r="34" spans="2:11" ht="15" thickTop="1" thickBot="1">
      <c r="E34" s="39" t="s">
        <v>0</v>
      </c>
      <c r="F34" s="38">
        <f>C9</f>
        <v>21</v>
      </c>
      <c r="G34" s="37">
        <f>ROUNDDOWN(SUM(G31:G32),0)</f>
        <v>2660</v>
      </c>
      <c r="I34" s="39" t="s">
        <v>0</v>
      </c>
      <c r="J34" s="38">
        <f>G9</f>
        <v>0</v>
      </c>
      <c r="K34" s="37">
        <f>ROUNDDOWN(SUM(K31:K32),0)</f>
        <v>2315</v>
      </c>
    </row>
    <row r="35" spans="2:11" ht="14.25" thickTop="1"/>
  </sheetData>
  <mergeCells count="10">
    <mergeCell ref="B1:D1"/>
    <mergeCell ref="B6:B7"/>
    <mergeCell ref="C6:C7"/>
    <mergeCell ref="E5:F5"/>
    <mergeCell ref="C13:C15"/>
    <mergeCell ref="A5:A10"/>
    <mergeCell ref="B11:B12"/>
    <mergeCell ref="C11:C12"/>
    <mergeCell ref="B13:B15"/>
    <mergeCell ref="A11:A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14" sqref="F14"/>
    </sheetView>
  </sheetViews>
  <sheetFormatPr defaultRowHeight="13.5"/>
  <cols>
    <col min="1" max="6" width="8.625" style="1" customWidth="1"/>
    <col min="7" max="16384" width="9" style="1"/>
  </cols>
  <sheetData>
    <row r="1" spans="1:7" ht="15" thickTop="1" thickBot="1">
      <c r="A1" s="198" t="s">
        <v>19</v>
      </c>
      <c r="B1" s="200" t="s">
        <v>13</v>
      </c>
      <c r="C1" s="200" t="s">
        <v>18</v>
      </c>
      <c r="D1" s="200"/>
      <c r="E1" s="202"/>
      <c r="F1" s="21" t="s">
        <v>17</v>
      </c>
      <c r="G1" s="21"/>
    </row>
    <row r="2" spans="1:7" ht="19.5" thickBot="1">
      <c r="A2" s="199"/>
      <c r="B2" s="201"/>
      <c r="C2" s="201" t="s">
        <v>16</v>
      </c>
      <c r="D2" s="201"/>
      <c r="E2" s="32" t="s">
        <v>15</v>
      </c>
      <c r="F2" s="31">
        <f>IF(入力画面!C5=13,上水基本ＴＢＬ改定後!B3,IF(入力画面!C5=20,上水基本ＴＢＬ改定後!B4,IF(入力画面!C5=25,上水基本ＴＢＬ改定後!B5,IF(入力画面!C5=30,上水基本ＴＢＬ改定後!B6,IF(入力画面!C5=40,上水基本ＴＢＬ改定後!B7,IF(入力画面!C5=50,上水基本ＴＢＬ改定後!B8,IF(入力画面!C5=75,上水基本ＴＢＬ改定後!B9,IF(入力画面!C5=100,上水基本ＴＢＬ改定後!B10,上水基本ＴＢＬ改定後!B11))))))))</f>
        <v>1138</v>
      </c>
      <c r="G2" s="21">
        <f>VLOOKUP(入力画面!C5,A3:B11,2)</f>
        <v>1138</v>
      </c>
    </row>
    <row r="3" spans="1:7">
      <c r="A3" s="30">
        <v>13</v>
      </c>
      <c r="B3" s="29">
        <v>1138</v>
      </c>
      <c r="C3" s="29">
        <v>0</v>
      </c>
      <c r="D3" s="29">
        <v>10</v>
      </c>
      <c r="E3" s="28">
        <v>0</v>
      </c>
      <c r="F3" s="21"/>
      <c r="G3" s="21"/>
    </row>
    <row r="4" spans="1:7">
      <c r="A4" s="27">
        <v>20</v>
      </c>
      <c r="B4" s="26">
        <v>1265</v>
      </c>
      <c r="C4" s="26">
        <f>上水基本ＴＢＬ改定後!D3+1</f>
        <v>11</v>
      </c>
      <c r="D4" s="26">
        <v>20</v>
      </c>
      <c r="E4" s="25">
        <v>143</v>
      </c>
      <c r="F4" s="21"/>
      <c r="G4" s="21"/>
    </row>
    <row r="5" spans="1:7">
      <c r="A5" s="27">
        <v>25</v>
      </c>
      <c r="B5" s="26">
        <v>1380</v>
      </c>
      <c r="C5" s="26">
        <f>上水基本ＴＢＬ改定後!D4+1</f>
        <v>21</v>
      </c>
      <c r="D5" s="26">
        <v>30</v>
      </c>
      <c r="E5" s="25">
        <v>149</v>
      </c>
      <c r="F5" s="21"/>
      <c r="G5" s="21"/>
    </row>
    <row r="6" spans="1:7">
      <c r="A6" s="27">
        <v>30</v>
      </c>
      <c r="B6" s="26">
        <v>3737</v>
      </c>
      <c r="C6" s="26">
        <f>上水基本ＴＢＬ改定後!D5+1</f>
        <v>31</v>
      </c>
      <c r="D6" s="26">
        <v>50</v>
      </c>
      <c r="E6" s="25">
        <v>161</v>
      </c>
      <c r="F6" s="21"/>
      <c r="G6" s="21"/>
    </row>
    <row r="7" spans="1:7">
      <c r="A7" s="27">
        <v>40</v>
      </c>
      <c r="B7" s="26">
        <v>4887</v>
      </c>
      <c r="C7" s="26">
        <f>上水基本ＴＢＬ改定後!D6+1</f>
        <v>51</v>
      </c>
      <c r="D7" s="26">
        <v>100</v>
      </c>
      <c r="E7" s="25">
        <v>172</v>
      </c>
      <c r="F7" s="21"/>
      <c r="G7" s="21"/>
    </row>
    <row r="8" spans="1:7">
      <c r="A8" s="27">
        <v>50</v>
      </c>
      <c r="B8" s="26">
        <v>6037</v>
      </c>
      <c r="C8" s="26">
        <f>上水基本ＴＢＬ改定後!D7+1</f>
        <v>101</v>
      </c>
      <c r="D8" s="26">
        <v>300</v>
      </c>
      <c r="E8" s="25">
        <v>184</v>
      </c>
      <c r="F8" s="21"/>
      <c r="G8" s="21"/>
    </row>
    <row r="9" spans="1:7">
      <c r="A9" s="27">
        <v>75</v>
      </c>
      <c r="B9" s="26">
        <v>8625</v>
      </c>
      <c r="C9" s="26">
        <f>上水基本ＴＢＬ改定後!D8+1</f>
        <v>301</v>
      </c>
      <c r="D9" s="26">
        <v>500</v>
      </c>
      <c r="E9" s="25">
        <v>195</v>
      </c>
      <c r="F9" s="21"/>
      <c r="G9" s="21"/>
    </row>
    <row r="10" spans="1:7">
      <c r="A10" s="27">
        <v>100</v>
      </c>
      <c r="B10" s="26">
        <v>11500</v>
      </c>
      <c r="C10" s="26">
        <f>上水基本ＴＢＬ改定後!D9+1</f>
        <v>501</v>
      </c>
      <c r="D10" s="26"/>
      <c r="E10" s="25">
        <v>201</v>
      </c>
      <c r="F10" s="21"/>
      <c r="G10" s="21"/>
    </row>
    <row r="11" spans="1:7" ht="14.25" thickBot="1">
      <c r="A11" s="24">
        <v>150</v>
      </c>
      <c r="B11" s="23">
        <v>17250</v>
      </c>
      <c r="C11" s="23"/>
      <c r="D11" s="23"/>
      <c r="E11" s="22"/>
      <c r="F11" s="21"/>
      <c r="G11" s="21"/>
    </row>
    <row r="12" spans="1:7" ht="14.25" thickTop="1">
      <c r="A12" s="21"/>
      <c r="B12" s="21"/>
      <c r="C12" s="21"/>
      <c r="D12" s="21"/>
      <c r="E12" s="21"/>
      <c r="F12" s="21"/>
      <c r="G12" s="21"/>
    </row>
    <row r="13" spans="1:7">
      <c r="A13" s="21"/>
      <c r="B13" s="21"/>
      <c r="C13" s="21"/>
      <c r="D13" s="21"/>
      <c r="E13" s="21"/>
      <c r="F13" s="21"/>
      <c r="G13" s="21"/>
    </row>
    <row r="14" spans="1:7">
      <c r="A14" s="21"/>
      <c r="B14" s="21"/>
      <c r="C14" s="21"/>
      <c r="D14" s="21"/>
      <c r="E14" s="21"/>
      <c r="F14" s="21"/>
      <c r="G14" s="21"/>
    </row>
    <row r="15" spans="1:7">
      <c r="A15" s="21"/>
      <c r="B15" s="21"/>
      <c r="C15" s="21"/>
      <c r="D15" s="21"/>
      <c r="E15" s="21"/>
      <c r="F15" s="21"/>
      <c r="G15" s="21"/>
    </row>
    <row r="16" spans="1:7">
      <c r="A16" s="21"/>
      <c r="B16" s="21"/>
      <c r="C16" s="21"/>
      <c r="D16" s="21"/>
      <c r="E16" s="21"/>
      <c r="F16" s="21"/>
      <c r="G16" s="21"/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21"/>
      <c r="B18" s="21"/>
      <c r="C18" s="21"/>
      <c r="D18" s="21"/>
      <c r="E18" s="21"/>
      <c r="F18" s="21"/>
      <c r="G18" s="21"/>
    </row>
  </sheetData>
  <mergeCells count="4">
    <mergeCell ref="A1:A2"/>
    <mergeCell ref="B1:B2"/>
    <mergeCell ref="C1:E1"/>
    <mergeCell ref="C2:D2"/>
  </mergeCells>
  <phoneticPr fontId="3"/>
  <pageMargins left="0.75" right="0.75" top="1" bottom="1" header="0.51200000000000001" footer="0.51200000000000001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3" sqref="D3"/>
    </sheetView>
  </sheetViews>
  <sheetFormatPr defaultRowHeight="13.5"/>
  <cols>
    <col min="1" max="6" width="8.625" style="1" customWidth="1"/>
    <col min="7" max="16384" width="9" style="1"/>
  </cols>
  <sheetData>
    <row r="1" spans="1:7" ht="15" thickTop="1" thickBot="1">
      <c r="A1" s="205" t="s">
        <v>21</v>
      </c>
      <c r="B1" s="203" t="s">
        <v>13</v>
      </c>
      <c r="C1" s="200" t="s">
        <v>18</v>
      </c>
      <c r="D1" s="200"/>
      <c r="E1" s="202"/>
      <c r="F1" s="21" t="s">
        <v>17</v>
      </c>
      <c r="G1" s="21"/>
    </row>
    <row r="2" spans="1:7" ht="19.5" thickBot="1">
      <c r="A2" s="206"/>
      <c r="B2" s="204"/>
      <c r="C2" s="201" t="s">
        <v>16</v>
      </c>
      <c r="D2" s="201"/>
      <c r="E2" s="32" t="s">
        <v>15</v>
      </c>
      <c r="F2" s="21"/>
      <c r="G2" s="21"/>
    </row>
    <row r="3" spans="1:7">
      <c r="A3" s="206"/>
      <c r="B3" s="36">
        <v>1090</v>
      </c>
      <c r="C3" s="29">
        <v>0</v>
      </c>
      <c r="D3" s="29">
        <v>10</v>
      </c>
      <c r="E3" s="28">
        <v>0</v>
      </c>
      <c r="F3" s="21"/>
      <c r="G3" s="21"/>
    </row>
    <row r="4" spans="1:7">
      <c r="A4" s="206"/>
      <c r="B4" s="35"/>
      <c r="C4" s="26">
        <f>下水基本ＴＢＬ!D3+1</f>
        <v>11</v>
      </c>
      <c r="D4" s="26">
        <v>30</v>
      </c>
      <c r="E4" s="25">
        <v>120</v>
      </c>
      <c r="F4" s="21"/>
      <c r="G4" s="21"/>
    </row>
    <row r="5" spans="1:7">
      <c r="A5" s="206"/>
      <c r="B5" s="35"/>
      <c r="C5" s="26">
        <f>下水基本ＴＢＬ!D4+1</f>
        <v>31</v>
      </c>
      <c r="D5" s="26">
        <v>100</v>
      </c>
      <c r="E5" s="25">
        <v>132</v>
      </c>
      <c r="F5" s="21"/>
      <c r="G5" s="21"/>
    </row>
    <row r="6" spans="1:7">
      <c r="A6" s="206"/>
      <c r="B6" s="35"/>
      <c r="C6" s="26">
        <f>下水基本ＴＢＬ!D5+1</f>
        <v>101</v>
      </c>
      <c r="D6" s="26">
        <v>500</v>
      </c>
      <c r="E6" s="25">
        <v>144</v>
      </c>
      <c r="F6" s="21"/>
      <c r="G6" s="21"/>
    </row>
    <row r="7" spans="1:7">
      <c r="A7" s="206"/>
      <c r="B7" s="35"/>
      <c r="C7" s="26">
        <f>下水基本ＴＢＬ!D6+1</f>
        <v>501</v>
      </c>
      <c r="D7" s="26">
        <v>750</v>
      </c>
      <c r="E7" s="25">
        <v>150</v>
      </c>
      <c r="F7" s="21"/>
      <c r="G7" s="21"/>
    </row>
    <row r="8" spans="1:7" ht="14.25" thickBot="1">
      <c r="A8" s="207"/>
      <c r="B8" s="35"/>
      <c r="C8" s="26">
        <f>下水基本ＴＢＬ!D7+1</f>
        <v>751</v>
      </c>
      <c r="D8" s="26"/>
      <c r="E8" s="25">
        <v>150</v>
      </c>
      <c r="F8" s="21"/>
      <c r="G8" s="21"/>
    </row>
    <row r="9" spans="1:7" ht="14.25" thickBot="1">
      <c r="A9" s="34" t="s">
        <v>20</v>
      </c>
      <c r="B9" s="33"/>
      <c r="C9" s="23">
        <f>下水基本ＴＢＬ!D7+1</f>
        <v>751</v>
      </c>
      <c r="D9" s="23"/>
      <c r="E9" s="22">
        <v>202</v>
      </c>
      <c r="F9" s="21"/>
      <c r="G9" s="21"/>
    </row>
    <row r="10" spans="1:7" ht="14.25" thickTop="1">
      <c r="A10" s="21"/>
      <c r="B10" s="21"/>
      <c r="C10" s="21"/>
      <c r="D10" s="21"/>
      <c r="E10" s="21"/>
      <c r="F10" s="21"/>
      <c r="G10" s="21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21"/>
      <c r="B12" s="21"/>
      <c r="C12" s="21"/>
      <c r="D12" s="21"/>
      <c r="E12" s="21"/>
      <c r="F12" s="21"/>
      <c r="G12" s="21"/>
    </row>
    <row r="13" spans="1:7">
      <c r="A13" s="21"/>
      <c r="B13" s="21"/>
      <c r="C13" s="21"/>
      <c r="D13" s="21"/>
      <c r="E13" s="21"/>
      <c r="F13" s="21"/>
      <c r="G13" s="21"/>
    </row>
    <row r="14" spans="1:7">
      <c r="A14" s="21"/>
      <c r="B14" s="21"/>
      <c r="C14" s="21"/>
      <c r="D14" s="21"/>
      <c r="E14" s="21"/>
      <c r="F14" s="21"/>
      <c r="G14" s="21"/>
    </row>
    <row r="15" spans="1:7">
      <c r="A15" s="21"/>
      <c r="B15" s="21"/>
      <c r="C15" s="21"/>
      <c r="D15" s="21"/>
      <c r="E15" s="21"/>
      <c r="F15" s="21"/>
      <c r="G15" s="21"/>
    </row>
    <row r="16" spans="1:7">
      <c r="A16" s="21"/>
      <c r="B16" s="21"/>
      <c r="C16" s="21"/>
      <c r="D16" s="21"/>
      <c r="E16" s="21"/>
      <c r="F16" s="21"/>
      <c r="G16" s="21"/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21"/>
      <c r="B18" s="21"/>
      <c r="C18" s="21"/>
      <c r="D18" s="21"/>
      <c r="E18" s="21"/>
      <c r="F18" s="21"/>
      <c r="G18" s="21"/>
    </row>
  </sheetData>
  <mergeCells count="4">
    <mergeCell ref="B1:B2"/>
    <mergeCell ref="C1:E1"/>
    <mergeCell ref="C2:D2"/>
    <mergeCell ref="A1:A8"/>
  </mergeCells>
  <phoneticPr fontId="3"/>
  <pageMargins left="0.75" right="0.75" top="1" bottom="1" header="0.51200000000000001" footer="0.51200000000000001"/>
  <pageSetup paperSize="9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XFD1048576"/>
    </sheetView>
  </sheetViews>
  <sheetFormatPr defaultRowHeight="13.5"/>
  <cols>
    <col min="1" max="6" width="8.625" style="1" customWidth="1"/>
    <col min="7" max="256" width="9" style="1"/>
    <col min="257" max="262" width="8.625" style="1" customWidth="1"/>
    <col min="263" max="512" width="9" style="1"/>
    <col min="513" max="518" width="8.625" style="1" customWidth="1"/>
    <col min="519" max="768" width="9" style="1"/>
    <col min="769" max="774" width="8.625" style="1" customWidth="1"/>
    <col min="775" max="1024" width="9" style="1"/>
    <col min="1025" max="1030" width="8.625" style="1" customWidth="1"/>
    <col min="1031" max="1280" width="9" style="1"/>
    <col min="1281" max="1286" width="8.625" style="1" customWidth="1"/>
    <col min="1287" max="1536" width="9" style="1"/>
    <col min="1537" max="1542" width="8.625" style="1" customWidth="1"/>
    <col min="1543" max="1792" width="9" style="1"/>
    <col min="1793" max="1798" width="8.625" style="1" customWidth="1"/>
    <col min="1799" max="2048" width="9" style="1"/>
    <col min="2049" max="2054" width="8.625" style="1" customWidth="1"/>
    <col min="2055" max="2304" width="9" style="1"/>
    <col min="2305" max="2310" width="8.625" style="1" customWidth="1"/>
    <col min="2311" max="2560" width="9" style="1"/>
    <col min="2561" max="2566" width="8.625" style="1" customWidth="1"/>
    <col min="2567" max="2816" width="9" style="1"/>
    <col min="2817" max="2822" width="8.625" style="1" customWidth="1"/>
    <col min="2823" max="3072" width="9" style="1"/>
    <col min="3073" max="3078" width="8.625" style="1" customWidth="1"/>
    <col min="3079" max="3328" width="9" style="1"/>
    <col min="3329" max="3334" width="8.625" style="1" customWidth="1"/>
    <col min="3335" max="3584" width="9" style="1"/>
    <col min="3585" max="3590" width="8.625" style="1" customWidth="1"/>
    <col min="3591" max="3840" width="9" style="1"/>
    <col min="3841" max="3846" width="8.625" style="1" customWidth="1"/>
    <col min="3847" max="4096" width="9" style="1"/>
    <col min="4097" max="4102" width="8.625" style="1" customWidth="1"/>
    <col min="4103" max="4352" width="9" style="1"/>
    <col min="4353" max="4358" width="8.625" style="1" customWidth="1"/>
    <col min="4359" max="4608" width="9" style="1"/>
    <col min="4609" max="4614" width="8.625" style="1" customWidth="1"/>
    <col min="4615" max="4864" width="9" style="1"/>
    <col min="4865" max="4870" width="8.625" style="1" customWidth="1"/>
    <col min="4871" max="5120" width="9" style="1"/>
    <col min="5121" max="5126" width="8.625" style="1" customWidth="1"/>
    <col min="5127" max="5376" width="9" style="1"/>
    <col min="5377" max="5382" width="8.625" style="1" customWidth="1"/>
    <col min="5383" max="5632" width="9" style="1"/>
    <col min="5633" max="5638" width="8.625" style="1" customWidth="1"/>
    <col min="5639" max="5888" width="9" style="1"/>
    <col min="5889" max="5894" width="8.625" style="1" customWidth="1"/>
    <col min="5895" max="6144" width="9" style="1"/>
    <col min="6145" max="6150" width="8.625" style="1" customWidth="1"/>
    <col min="6151" max="6400" width="9" style="1"/>
    <col min="6401" max="6406" width="8.625" style="1" customWidth="1"/>
    <col min="6407" max="6656" width="9" style="1"/>
    <col min="6657" max="6662" width="8.625" style="1" customWidth="1"/>
    <col min="6663" max="6912" width="9" style="1"/>
    <col min="6913" max="6918" width="8.625" style="1" customWidth="1"/>
    <col min="6919" max="7168" width="9" style="1"/>
    <col min="7169" max="7174" width="8.625" style="1" customWidth="1"/>
    <col min="7175" max="7424" width="9" style="1"/>
    <col min="7425" max="7430" width="8.625" style="1" customWidth="1"/>
    <col min="7431" max="7680" width="9" style="1"/>
    <col min="7681" max="7686" width="8.625" style="1" customWidth="1"/>
    <col min="7687" max="7936" width="9" style="1"/>
    <col min="7937" max="7942" width="8.625" style="1" customWidth="1"/>
    <col min="7943" max="8192" width="9" style="1"/>
    <col min="8193" max="8198" width="8.625" style="1" customWidth="1"/>
    <col min="8199" max="8448" width="9" style="1"/>
    <col min="8449" max="8454" width="8.625" style="1" customWidth="1"/>
    <col min="8455" max="8704" width="9" style="1"/>
    <col min="8705" max="8710" width="8.625" style="1" customWidth="1"/>
    <col min="8711" max="8960" width="9" style="1"/>
    <col min="8961" max="8966" width="8.625" style="1" customWidth="1"/>
    <col min="8967" max="9216" width="9" style="1"/>
    <col min="9217" max="9222" width="8.625" style="1" customWidth="1"/>
    <col min="9223" max="9472" width="9" style="1"/>
    <col min="9473" max="9478" width="8.625" style="1" customWidth="1"/>
    <col min="9479" max="9728" width="9" style="1"/>
    <col min="9729" max="9734" width="8.625" style="1" customWidth="1"/>
    <col min="9735" max="9984" width="9" style="1"/>
    <col min="9985" max="9990" width="8.625" style="1" customWidth="1"/>
    <col min="9991" max="10240" width="9" style="1"/>
    <col min="10241" max="10246" width="8.625" style="1" customWidth="1"/>
    <col min="10247" max="10496" width="9" style="1"/>
    <col min="10497" max="10502" width="8.625" style="1" customWidth="1"/>
    <col min="10503" max="10752" width="9" style="1"/>
    <col min="10753" max="10758" width="8.625" style="1" customWidth="1"/>
    <col min="10759" max="11008" width="9" style="1"/>
    <col min="11009" max="11014" width="8.625" style="1" customWidth="1"/>
    <col min="11015" max="11264" width="9" style="1"/>
    <col min="11265" max="11270" width="8.625" style="1" customWidth="1"/>
    <col min="11271" max="11520" width="9" style="1"/>
    <col min="11521" max="11526" width="8.625" style="1" customWidth="1"/>
    <col min="11527" max="11776" width="9" style="1"/>
    <col min="11777" max="11782" width="8.625" style="1" customWidth="1"/>
    <col min="11783" max="12032" width="9" style="1"/>
    <col min="12033" max="12038" width="8.625" style="1" customWidth="1"/>
    <col min="12039" max="12288" width="9" style="1"/>
    <col min="12289" max="12294" width="8.625" style="1" customWidth="1"/>
    <col min="12295" max="12544" width="9" style="1"/>
    <col min="12545" max="12550" width="8.625" style="1" customWidth="1"/>
    <col min="12551" max="12800" width="9" style="1"/>
    <col min="12801" max="12806" width="8.625" style="1" customWidth="1"/>
    <col min="12807" max="13056" width="9" style="1"/>
    <col min="13057" max="13062" width="8.625" style="1" customWidth="1"/>
    <col min="13063" max="13312" width="9" style="1"/>
    <col min="13313" max="13318" width="8.625" style="1" customWidth="1"/>
    <col min="13319" max="13568" width="9" style="1"/>
    <col min="13569" max="13574" width="8.625" style="1" customWidth="1"/>
    <col min="13575" max="13824" width="9" style="1"/>
    <col min="13825" max="13830" width="8.625" style="1" customWidth="1"/>
    <col min="13831" max="14080" width="9" style="1"/>
    <col min="14081" max="14086" width="8.625" style="1" customWidth="1"/>
    <col min="14087" max="14336" width="9" style="1"/>
    <col min="14337" max="14342" width="8.625" style="1" customWidth="1"/>
    <col min="14343" max="14592" width="9" style="1"/>
    <col min="14593" max="14598" width="8.625" style="1" customWidth="1"/>
    <col min="14599" max="14848" width="9" style="1"/>
    <col min="14849" max="14854" width="8.625" style="1" customWidth="1"/>
    <col min="14855" max="15104" width="9" style="1"/>
    <col min="15105" max="15110" width="8.625" style="1" customWidth="1"/>
    <col min="15111" max="15360" width="9" style="1"/>
    <col min="15361" max="15366" width="8.625" style="1" customWidth="1"/>
    <col min="15367" max="15616" width="9" style="1"/>
    <col min="15617" max="15622" width="8.625" style="1" customWidth="1"/>
    <col min="15623" max="15872" width="9" style="1"/>
    <col min="15873" max="15878" width="8.625" style="1" customWidth="1"/>
    <col min="15879" max="16128" width="9" style="1"/>
    <col min="16129" max="16134" width="8.625" style="1" customWidth="1"/>
    <col min="16135" max="16384" width="9" style="1"/>
  </cols>
  <sheetData>
    <row r="1" spans="1:7" ht="15" thickTop="1" thickBot="1">
      <c r="A1" s="198" t="s">
        <v>19</v>
      </c>
      <c r="B1" s="200" t="s">
        <v>13</v>
      </c>
      <c r="C1" s="200" t="s">
        <v>18</v>
      </c>
      <c r="D1" s="200"/>
      <c r="E1" s="202"/>
      <c r="F1" s="21" t="s">
        <v>17</v>
      </c>
      <c r="G1" s="21"/>
    </row>
    <row r="2" spans="1:7" ht="19.5" thickBot="1">
      <c r="A2" s="199"/>
      <c r="B2" s="201"/>
      <c r="C2" s="201" t="s">
        <v>16</v>
      </c>
      <c r="D2" s="201"/>
      <c r="E2" s="32" t="s">
        <v>15</v>
      </c>
      <c r="F2" s="31">
        <f>IF(入力画面!C5=13,上水基本ＴＢＬ改定前!B3,IF(入力画面!C5=20,上水基本ＴＢＬ改定前!B4,IF(入力画面!C5=25,上水基本ＴＢＬ改定前!B5,IF(入力画面!C5=30,上水基本ＴＢＬ改定前!B6,IF(入力画面!C5=40,上水基本ＴＢＬ改定前!B7,IF(入力画面!C5=50,上水基本ＴＢＬ改定前!B8,IF(入力画面!C5=75,上水基本ＴＢＬ改定前!B9,IF(入力画面!C5=100,上水基本ＴＢＬ改定前!B10,上水基本ＴＢＬ改定前!B11))))))))</f>
        <v>990</v>
      </c>
      <c r="G2" s="21">
        <f>VLOOKUP(入力画面!C5,A3:B11,2)</f>
        <v>990</v>
      </c>
    </row>
    <row r="3" spans="1:7">
      <c r="A3" s="30">
        <v>13</v>
      </c>
      <c r="B3" s="29">
        <v>990</v>
      </c>
      <c r="C3" s="29">
        <v>0</v>
      </c>
      <c r="D3" s="29">
        <v>10</v>
      </c>
      <c r="E3" s="28">
        <v>0</v>
      </c>
      <c r="F3" s="21"/>
      <c r="G3" s="21"/>
    </row>
    <row r="4" spans="1:7">
      <c r="A4" s="27">
        <v>20</v>
      </c>
      <c r="B4" s="26">
        <v>1100</v>
      </c>
      <c r="C4" s="26">
        <f>上水基本ＴＢＬ改定前!D3+1</f>
        <v>11</v>
      </c>
      <c r="D4" s="26">
        <v>20</v>
      </c>
      <c r="E4" s="25">
        <v>125</v>
      </c>
      <c r="F4" s="21"/>
      <c r="G4" s="21"/>
    </row>
    <row r="5" spans="1:7">
      <c r="A5" s="27">
        <v>25</v>
      </c>
      <c r="B5" s="26">
        <v>1200</v>
      </c>
      <c r="C5" s="26">
        <f>上水基本ＴＢＬ改定前!D4+1</f>
        <v>21</v>
      </c>
      <c r="D5" s="26">
        <v>30</v>
      </c>
      <c r="E5" s="25">
        <v>130</v>
      </c>
      <c r="F5" s="21"/>
      <c r="G5" s="21"/>
    </row>
    <row r="6" spans="1:7">
      <c r="A6" s="27">
        <v>30</v>
      </c>
      <c r="B6" s="26">
        <v>3250</v>
      </c>
      <c r="C6" s="26">
        <f>上水基本ＴＢＬ改定前!D5+1</f>
        <v>31</v>
      </c>
      <c r="D6" s="26">
        <v>50</v>
      </c>
      <c r="E6" s="25">
        <v>140</v>
      </c>
      <c r="F6" s="21"/>
      <c r="G6" s="21"/>
    </row>
    <row r="7" spans="1:7">
      <c r="A7" s="27">
        <v>40</v>
      </c>
      <c r="B7" s="26">
        <v>4250</v>
      </c>
      <c r="C7" s="26">
        <f>上水基本ＴＢＬ改定前!D6+1</f>
        <v>51</v>
      </c>
      <c r="D7" s="26">
        <v>100</v>
      </c>
      <c r="E7" s="25">
        <v>150</v>
      </c>
      <c r="F7" s="21"/>
      <c r="G7" s="21"/>
    </row>
    <row r="8" spans="1:7">
      <c r="A8" s="27">
        <v>50</v>
      </c>
      <c r="B8" s="26">
        <v>5250</v>
      </c>
      <c r="C8" s="26">
        <f>上水基本ＴＢＬ改定前!D7+1</f>
        <v>101</v>
      </c>
      <c r="D8" s="26">
        <v>300</v>
      </c>
      <c r="E8" s="25">
        <v>160</v>
      </c>
      <c r="F8" s="21"/>
      <c r="G8" s="21"/>
    </row>
    <row r="9" spans="1:7">
      <c r="A9" s="27">
        <v>75</v>
      </c>
      <c r="B9" s="26">
        <v>7500</v>
      </c>
      <c r="C9" s="26">
        <f>上水基本ＴＢＬ改定前!D8+1</f>
        <v>301</v>
      </c>
      <c r="D9" s="26">
        <v>500</v>
      </c>
      <c r="E9" s="25">
        <v>170</v>
      </c>
      <c r="F9" s="21"/>
      <c r="G9" s="21"/>
    </row>
    <row r="10" spans="1:7">
      <c r="A10" s="27">
        <v>100</v>
      </c>
      <c r="B10" s="26">
        <v>10000</v>
      </c>
      <c r="C10" s="26">
        <f>上水基本ＴＢＬ改定前!D9+1</f>
        <v>501</v>
      </c>
      <c r="D10" s="26"/>
      <c r="E10" s="25">
        <v>175</v>
      </c>
      <c r="F10" s="21"/>
      <c r="G10" s="21"/>
    </row>
    <row r="11" spans="1:7" ht="14.25" thickBot="1">
      <c r="A11" s="24">
        <v>150</v>
      </c>
      <c r="B11" s="23">
        <v>15000</v>
      </c>
      <c r="C11" s="23"/>
      <c r="D11" s="23"/>
      <c r="E11" s="22"/>
      <c r="F11" s="21"/>
      <c r="G11" s="21"/>
    </row>
    <row r="12" spans="1:7" ht="14.25" thickTop="1">
      <c r="A12" s="21"/>
      <c r="B12" s="21"/>
      <c r="C12" s="21"/>
      <c r="D12" s="21"/>
      <c r="E12" s="21"/>
      <c r="F12" s="21"/>
      <c r="G12" s="21"/>
    </row>
    <row r="13" spans="1:7">
      <c r="A13" s="21"/>
      <c r="B13" s="21"/>
      <c r="C13" s="21"/>
      <c r="D13" s="21"/>
      <c r="E13" s="21"/>
      <c r="F13" s="21"/>
      <c r="G13" s="21"/>
    </row>
    <row r="14" spans="1:7">
      <c r="A14" s="21"/>
      <c r="B14" s="21"/>
      <c r="C14" s="21"/>
      <c r="D14" s="21"/>
      <c r="E14" s="21"/>
      <c r="F14" s="21"/>
      <c r="G14" s="21"/>
    </row>
    <row r="15" spans="1:7">
      <c r="A15" s="21"/>
      <c r="B15" s="21"/>
      <c r="C15" s="21"/>
      <c r="D15" s="21"/>
      <c r="E15" s="21"/>
      <c r="F15" s="21"/>
      <c r="G15" s="21"/>
    </row>
    <row r="16" spans="1:7">
      <c r="A16" s="21"/>
      <c r="B16" s="21"/>
      <c r="C16" s="21"/>
      <c r="D16" s="21"/>
      <c r="E16" s="21"/>
      <c r="F16" s="21"/>
      <c r="G16" s="21"/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21"/>
      <c r="B18" s="21"/>
      <c r="C18" s="21"/>
      <c r="D18" s="21"/>
      <c r="E18" s="21"/>
      <c r="F18" s="21"/>
      <c r="G18" s="21"/>
    </row>
  </sheetData>
  <mergeCells count="4">
    <mergeCell ref="A1:A2"/>
    <mergeCell ref="B1:B2"/>
    <mergeCell ref="C1:E1"/>
    <mergeCell ref="C2:D2"/>
  </mergeCells>
  <phoneticPr fontId="3"/>
  <pageMargins left="0.75" right="0.75" top="1" bottom="1" header="0.51200000000000001" footer="0.51200000000000001"/>
  <pageSetup paperSize="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zoomScale="150" workbookViewId="0">
      <selection activeCell="C13" sqref="C13"/>
    </sheetView>
  </sheetViews>
  <sheetFormatPr defaultRowHeight="13.5"/>
  <cols>
    <col min="1" max="1" width="18.5" style="1" bestFit="1" customWidth="1"/>
    <col min="2" max="2" width="11" style="1" bestFit="1" customWidth="1"/>
    <col min="3" max="3" width="10.25" style="1" bestFit="1" customWidth="1"/>
    <col min="4" max="4" width="8.375" style="1" bestFit="1" customWidth="1"/>
    <col min="5" max="5" width="6.875" style="1" bestFit="1" customWidth="1"/>
    <col min="6" max="6" width="11.625" style="1" customWidth="1"/>
    <col min="7" max="16384" width="9" style="1"/>
  </cols>
  <sheetData>
    <row r="1" spans="1:6" ht="14.25" customHeight="1" thickTop="1">
      <c r="A1" s="20" t="s">
        <v>14</v>
      </c>
      <c r="B1" s="19"/>
      <c r="C1" s="18"/>
    </row>
    <row r="2" spans="1:6" ht="14.25" customHeight="1">
      <c r="A2" s="12" t="s">
        <v>13</v>
      </c>
      <c r="B2" s="17"/>
      <c r="C2" s="13">
        <f>IF(入力画面!C6=1,下水基本ＴＢＬ!B3*入力画面!F10*入力画面!F7,IF(入力画面!C6=2,下水基本ＴＢＬ!B3*入力画面!F10*入力画面!F7,"入力エラー"))</f>
        <v>2180</v>
      </c>
    </row>
    <row r="3" spans="1:6" ht="14.25" customHeight="1">
      <c r="A3" s="12" t="s">
        <v>12</v>
      </c>
      <c r="B3" s="11">
        <f>入力画面!F11</f>
        <v>21</v>
      </c>
      <c r="C3" s="16"/>
    </row>
    <row r="4" spans="1:6" ht="14.25" customHeight="1">
      <c r="A4" s="12" t="s">
        <v>11</v>
      </c>
      <c r="B4" s="14">
        <f>上水基本ＴＢＬ改定後!D3*入力画面!F10*入力画面!F7</f>
        <v>20</v>
      </c>
      <c r="C4" s="16"/>
      <c r="F4" s="15"/>
    </row>
    <row r="5" spans="1:6" ht="14.25" customHeight="1">
      <c r="A5" s="12"/>
      <c r="B5" s="17"/>
      <c r="C5" s="16"/>
      <c r="F5" s="15"/>
    </row>
    <row r="6" spans="1:6" ht="14.25" customHeight="1">
      <c r="A6" s="12" t="s">
        <v>10</v>
      </c>
      <c r="B6" s="11">
        <f>IF(入力画面!F11 &lt;= 下水基本ＴＢＬ!D3*入力画面!F10*入力画面!F7, 0, IF(入力画面!F11 &lt;= 下水基本ＴＢＬ!D4*入力画面!F10*入力画面!F7, 入力画面!F11-下水基本ＴＢＬ!D3*入力画面!F10*入力画面!F7, 下水基本ＴＢＬ!D4*入力画面!F10*入力画面!F7-下水基本ＴＢＬ!D3*入力画面!F10*入力画面!F7))</f>
        <v>1</v>
      </c>
      <c r="C6" s="10">
        <f>下水料金!B6*下水基本ＴＢＬ!E4</f>
        <v>120</v>
      </c>
    </row>
    <row r="7" spans="1:6" ht="14.25" customHeight="1">
      <c r="A7" s="12" t="s">
        <v>9</v>
      </c>
      <c r="B7" s="11">
        <f>IF(入力画面!F11 &lt;= 下水基本ＴＢＬ!D4*入力画面!F10*入力画面!F7, 0, IF(入力画面!F11 &lt;= 下水基本ＴＢＬ!D5*入力画面!F10*入力画面!F7, 入力画面!F11-下水基本ＴＢＬ!D4*入力画面!F10*入力画面!F7, 下水基本ＴＢＬ!D5*入力画面!F10*入力画面!F7-下水基本ＴＢＬ!D4*入力画面!F10*入力画面!F7))</f>
        <v>0</v>
      </c>
      <c r="C7" s="10">
        <f>下水料金!B7*下水基本ＴＢＬ!E5</f>
        <v>0</v>
      </c>
    </row>
    <row r="8" spans="1:6" ht="14.25" customHeight="1">
      <c r="A8" s="12" t="s">
        <v>8</v>
      </c>
      <c r="B8" s="11">
        <f>IF(入力画面!F11 &lt;= 下水基本ＴＢＬ!D5*入力画面!F10*入力画面!F7, 0, IF(入力画面!F11 &lt;= 下水基本ＴＢＬ!D6*入力画面!F10*入力画面!F7, 入力画面!F11-下水基本ＴＢＬ!D5*入力画面!F10*入力画面!F7, 下水基本ＴＢＬ!D6*入力画面!F10*入力画面!F7-下水基本ＴＢＬ!D5*入力画面!F10*入力画面!F7))</f>
        <v>0</v>
      </c>
      <c r="C8" s="10">
        <f>下水料金!B8*下水基本ＴＢＬ!E6</f>
        <v>0</v>
      </c>
    </row>
    <row r="9" spans="1:6" ht="14.25" customHeight="1">
      <c r="A9" s="12" t="s">
        <v>7</v>
      </c>
      <c r="B9" s="11">
        <f>IF(入力画面!F11 &lt; 下水基本ＴＢＬ!D6*入力画面!F10*入力画面!F6, 0, IF(入力画面!F11 &lt; 下水基本ＴＢＬ!D7*入力画面!F10*入力画面!F6, 入力画面!F11-下水基本ＴＢＬ!D6*入力画面!F10*入力画面!F6, 下水基本ＴＢＬ!D7*入力画面!F10*入力画面!F6-下水基本ＴＢＬ!D6*入力画面!F10*入力画面!F6))</f>
        <v>0</v>
      </c>
      <c r="C9" s="10">
        <f>下水料金!B9*下水基本ＴＢＬ!E7</f>
        <v>0</v>
      </c>
    </row>
    <row r="10" spans="1:6" ht="14.25" customHeight="1">
      <c r="A10" s="12" t="s">
        <v>6</v>
      </c>
      <c r="B10" s="11">
        <f>IF(入力画面!C13 = 1, IF(入力画面!F11 &lt; 下水基本ＴＢＬ!D7*入力画面!F10*入力画面!F6, 0, 入力画面!F11 - 下水基本ＴＢＬ!D7*入力画面!F10*入力画面!F6), 0)</f>
        <v>0</v>
      </c>
      <c r="C10" s="10">
        <f>下水料金!B10*下水基本ＴＢＬ!E8</f>
        <v>0</v>
      </c>
    </row>
    <row r="11" spans="1:6" ht="14.25" customHeight="1">
      <c r="A11" s="12"/>
      <c r="B11" s="11"/>
      <c r="C11" s="10"/>
    </row>
    <row r="12" spans="1:6" ht="14.25" customHeight="1">
      <c r="A12" s="12" t="s">
        <v>5</v>
      </c>
      <c r="B12" s="14">
        <f>SUM(下水料金!B6:'下水料金'!B10)</f>
        <v>1</v>
      </c>
      <c r="C12" s="13">
        <f>SUM(下水料金!C6:'下水料金'!C10)</f>
        <v>120</v>
      </c>
    </row>
    <row r="13" spans="1:6" ht="14.25" customHeight="1">
      <c r="A13" s="12" t="s">
        <v>4</v>
      </c>
      <c r="B13" s="11">
        <f>IF(入力画面!C13 = 2,  IF(入力画面!F11 &lt; 下水基本ＴＢＬ!D7*入力画面!F10*入力画面!F6, 0, 入力画面!F11 - 下水基本ＴＢＬ!D7*入力画面!F10*入力画面!F6), 0)</f>
        <v>0</v>
      </c>
      <c r="C13" s="10">
        <f>下水料金!B13*下水基本ＴＢＬ!E9</f>
        <v>0</v>
      </c>
    </row>
    <row r="14" spans="1:6" ht="14.25" customHeight="1">
      <c r="A14" s="8"/>
      <c r="B14" s="9"/>
      <c r="C14" s="6"/>
    </row>
    <row r="15" spans="1:6" ht="14.25" customHeight="1">
      <c r="A15" s="8" t="s">
        <v>3</v>
      </c>
      <c r="B15" s="9"/>
      <c r="C15" s="6">
        <f>C2+C12+C13</f>
        <v>2300</v>
      </c>
    </row>
    <row r="16" spans="1:6" ht="14.25" customHeight="1">
      <c r="A16" s="8" t="s">
        <v>2</v>
      </c>
      <c r="B16" s="9"/>
      <c r="C16" s="6">
        <f>ROUNDDOWN(C15*入力画面!$F$14,0)</f>
        <v>230</v>
      </c>
    </row>
    <row r="17" spans="1:4" ht="14.25" customHeight="1">
      <c r="A17" s="8" t="s">
        <v>1</v>
      </c>
      <c r="B17" s="9"/>
      <c r="C17" s="6">
        <f>ROUNDDOWN(C15+C16,-1)</f>
        <v>2530</v>
      </c>
    </row>
    <row r="18" spans="1:4" ht="14.25" customHeight="1" thickBot="1">
      <c r="A18" s="8"/>
      <c r="B18" s="7"/>
      <c r="C18" s="6"/>
    </row>
    <row r="19" spans="1:4" ht="14.25" customHeight="1" thickTop="1" thickBot="1">
      <c r="A19" s="5" t="s">
        <v>0</v>
      </c>
      <c r="B19" s="4"/>
      <c r="C19" s="3">
        <f>C17</f>
        <v>2530</v>
      </c>
    </row>
    <row r="20" spans="1:4" ht="14.25" thickTop="1">
      <c r="A20" s="1" t="str">
        <f>IF(入力画面!C11 &gt; 2, "※ 上水１００％ではないので、合計額と請求額は異なります。","")</f>
        <v/>
      </c>
      <c r="D20" s="2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水道料金比較</vt:lpstr>
      <vt:lpstr>入力画面</vt:lpstr>
      <vt:lpstr>上水基本ＴＢＬ改定後</vt:lpstr>
      <vt:lpstr>下水基本ＴＢＬ</vt:lpstr>
      <vt:lpstr>上水基本ＴＢＬ改定前</vt:lpstr>
      <vt:lpstr>下水料金</vt:lpstr>
      <vt:lpstr>水道料金比較!Print_Area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上下水道課</cp:lastModifiedBy>
  <cp:lastPrinted>2023-10-31T05:40:18Z</cp:lastPrinted>
  <dcterms:created xsi:type="dcterms:W3CDTF">2023-07-04T01:17:09Z</dcterms:created>
  <dcterms:modified xsi:type="dcterms:W3CDTF">2024-03-12T01:28:46Z</dcterms:modified>
</cp:coreProperties>
</file>